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https://morongovalleyfireorg-my.sharepoint.com/personal/admin_morongovalleyfire_net/Documents/Accounting/Approved Budget/2021 - 2022 Budget/"/>
    </mc:Choice>
  </mc:AlternateContent>
  <xr:revisionPtr revIDLastSave="0" documentId="8_{77CB5C72-99A1-4136-AA0F-10803270C725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Final Proposed Budget" sheetId="5" r:id="rId1"/>
    <sheet name="Worksheet 20_21 Budget " sheetId="1" r:id="rId2"/>
    <sheet name="Salaries worksheets" sheetId="2" r:id="rId3"/>
    <sheet name="Sicktime Worksheets" sheetId="3" r:id="rId4"/>
    <sheet name="Fire payrate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5" l="1"/>
  <c r="H45" i="5"/>
  <c r="H23" i="5"/>
  <c r="H11" i="5"/>
  <c r="H133" i="5"/>
  <c r="H128" i="5"/>
  <c r="H67" i="5"/>
  <c r="H58" i="5"/>
  <c r="H29" i="5"/>
  <c r="H26" i="5"/>
  <c r="O9" i="1"/>
  <c r="O10" i="1"/>
  <c r="H11" i="1"/>
  <c r="O11" i="1"/>
  <c r="O13" i="1"/>
  <c r="O17" i="1" s="1"/>
  <c r="O14" i="1"/>
  <c r="O15" i="1"/>
  <c r="O16" i="1"/>
  <c r="H16" i="5" s="1"/>
  <c r="H17" i="5" s="1"/>
  <c r="H17" i="1"/>
  <c r="O19" i="1"/>
  <c r="O23" i="1" s="1"/>
  <c r="O20" i="1"/>
  <c r="O21" i="1"/>
  <c r="O22" i="1"/>
  <c r="H23" i="1"/>
  <c r="O25" i="1"/>
  <c r="O26" i="1" s="1"/>
  <c r="H26" i="1"/>
  <c r="O28" i="1"/>
  <c r="H29" i="1"/>
  <c r="O29" i="1"/>
  <c r="O35" i="1"/>
  <c r="O36" i="1"/>
  <c r="O37" i="1"/>
  <c r="O38" i="1"/>
  <c r="H38" i="5" s="1"/>
  <c r="H39" i="1"/>
  <c r="O41" i="1"/>
  <c r="O42" i="1"/>
  <c r="O43" i="1"/>
  <c r="O44" i="1"/>
  <c r="H45" i="1"/>
  <c r="O47" i="1"/>
  <c r="O48" i="1"/>
  <c r="O49" i="1"/>
  <c r="O50" i="1"/>
  <c r="O51" i="1"/>
  <c r="O52" i="1"/>
  <c r="O53" i="1"/>
  <c r="O54" i="1"/>
  <c r="O55" i="1"/>
  <c r="O56" i="1"/>
  <c r="O57" i="1"/>
  <c r="H58" i="1"/>
  <c r="O60" i="1"/>
  <c r="O61" i="1"/>
  <c r="O62" i="1"/>
  <c r="O63" i="1"/>
  <c r="O64" i="1"/>
  <c r="O65" i="1"/>
  <c r="O66" i="1"/>
  <c r="H67" i="1"/>
  <c r="I69" i="1"/>
  <c r="O69" i="1" s="1"/>
  <c r="I70" i="1"/>
  <c r="O70" i="1" s="1"/>
  <c r="O71" i="1"/>
  <c r="O72" i="1"/>
  <c r="I73" i="1"/>
  <c r="O73" i="1" s="1"/>
  <c r="O74" i="1"/>
  <c r="H74" i="5" s="1"/>
  <c r="H83" i="5" s="1"/>
  <c r="O75" i="1"/>
  <c r="O76" i="1"/>
  <c r="H76" i="5" s="1"/>
  <c r="O77" i="1"/>
  <c r="K78" i="1"/>
  <c r="O78" i="1" s="1"/>
  <c r="O79" i="1"/>
  <c r="O80" i="1"/>
  <c r="O81" i="1"/>
  <c r="I82" i="1"/>
  <c r="O82" i="1" s="1"/>
  <c r="H83" i="1"/>
  <c r="O86" i="1"/>
  <c r="O87" i="1"/>
  <c r="H87" i="5" s="1"/>
  <c r="H94" i="5" s="1"/>
  <c r="O88" i="1"/>
  <c r="H88" i="5" s="1"/>
  <c r="I89" i="1"/>
  <c r="O89" i="1"/>
  <c r="I90" i="1"/>
  <c r="O90" i="1" s="1"/>
  <c r="I91" i="1"/>
  <c r="O91" i="1"/>
  <c r="I92" i="1"/>
  <c r="O92" i="1" s="1"/>
  <c r="K92" i="1"/>
  <c r="O93" i="1"/>
  <c r="H94" i="1"/>
  <c r="O97" i="1"/>
  <c r="O98" i="1"/>
  <c r="O99" i="1"/>
  <c r="O100" i="1"/>
  <c r="H100" i="5" s="1"/>
  <c r="H102" i="5" s="1"/>
  <c r="O101" i="1"/>
  <c r="H102" i="1"/>
  <c r="I103" i="1"/>
  <c r="K103" i="1"/>
  <c r="O103" i="1" s="1"/>
  <c r="O105" i="1"/>
  <c r="O106" i="1"/>
  <c r="O107" i="1"/>
  <c r="O108" i="1"/>
  <c r="O109" i="1"/>
  <c r="O110" i="1"/>
  <c r="K111" i="1"/>
  <c r="O111" i="1"/>
  <c r="O112" i="1"/>
  <c r="O113" i="1"/>
  <c r="O114" i="1"/>
  <c r="O115" i="1"/>
  <c r="H116" i="1"/>
  <c r="O117" i="1"/>
  <c r="O118" i="1"/>
  <c r="O119" i="1"/>
  <c r="O120" i="1"/>
  <c r="O121" i="1"/>
  <c r="O125" i="1" s="1"/>
  <c r="O122" i="1"/>
  <c r="O123" i="1"/>
  <c r="O124" i="1"/>
  <c r="H125" i="1"/>
  <c r="O127" i="1"/>
  <c r="O128" i="1" s="1"/>
  <c r="H128" i="1"/>
  <c r="H129" i="1" s="1"/>
  <c r="O132" i="1"/>
  <c r="O133" i="1" s="1"/>
  <c r="H133" i="1"/>
  <c r="K50" i="4"/>
  <c r="L50" i="4"/>
  <c r="M50" i="4"/>
  <c r="N50" i="4"/>
  <c r="O50" i="4"/>
  <c r="K51" i="4"/>
  <c r="L51" i="4"/>
  <c r="M51" i="4"/>
  <c r="N51" i="4"/>
  <c r="O51" i="4"/>
  <c r="K52" i="4"/>
  <c r="L52" i="4"/>
  <c r="M52" i="4"/>
  <c r="N52" i="4"/>
  <c r="O52" i="4"/>
  <c r="K53" i="4"/>
  <c r="L53" i="4"/>
  <c r="M53" i="4"/>
  <c r="N53" i="4"/>
  <c r="O53" i="4"/>
  <c r="U55" i="4"/>
  <c r="V55" i="4"/>
  <c r="W55" i="4"/>
  <c r="U56" i="4"/>
  <c r="V56" i="4"/>
  <c r="W56" i="4"/>
  <c r="U57" i="4"/>
  <c r="V57" i="4"/>
  <c r="W57" i="4"/>
  <c r="X68" i="4"/>
  <c r="Y68" i="4"/>
  <c r="Z68" i="4"/>
  <c r="AA68" i="4"/>
  <c r="AB68" i="4"/>
  <c r="X69" i="4"/>
  <c r="Y69" i="4"/>
  <c r="Z69" i="4"/>
  <c r="AA69" i="4"/>
  <c r="AB69" i="4"/>
  <c r="X70" i="4"/>
  <c r="Y70" i="4"/>
  <c r="Z70" i="4"/>
  <c r="AA70" i="4"/>
  <c r="AB70" i="4"/>
  <c r="X71" i="4"/>
  <c r="Y71" i="4"/>
  <c r="Z71" i="4"/>
  <c r="AA71" i="4"/>
  <c r="AB71" i="4"/>
  <c r="E5" i="2"/>
  <c r="H5" i="2"/>
  <c r="H7" i="2" s="1"/>
  <c r="I7" i="2" s="1"/>
  <c r="H11" i="2"/>
  <c r="I11" i="2"/>
  <c r="S14" i="2" s="1"/>
  <c r="E14" i="2"/>
  <c r="I14" i="2"/>
  <c r="W16" i="2"/>
  <c r="E20" i="2"/>
  <c r="H20" i="2" s="1"/>
  <c r="I20" i="2" s="1"/>
  <c r="T24" i="2"/>
  <c r="H26" i="2"/>
  <c r="I26" i="2"/>
  <c r="Q27" i="2"/>
  <c r="S29" i="2"/>
  <c r="E36" i="2"/>
  <c r="H36" i="2" s="1"/>
  <c r="H37" i="2"/>
  <c r="I37" i="2" s="1"/>
  <c r="I40" i="2"/>
  <c r="H44" i="2"/>
  <c r="I44" i="2" s="1"/>
  <c r="E52" i="2"/>
  <c r="H52" i="2" s="1"/>
  <c r="I56" i="2"/>
  <c r="H58" i="2"/>
  <c r="I58" i="2"/>
  <c r="S18" i="2" s="1"/>
  <c r="H60" i="2"/>
  <c r="I60" i="2"/>
  <c r="E68" i="2"/>
  <c r="H68" i="2" s="1"/>
  <c r="H69" i="2"/>
  <c r="R69" i="2"/>
  <c r="I72" i="2"/>
  <c r="H76" i="2"/>
  <c r="I76" i="2" s="1"/>
  <c r="E83" i="2"/>
  <c r="H83" i="2"/>
  <c r="V83" i="2"/>
  <c r="W83" i="2"/>
  <c r="V85" i="2"/>
  <c r="W85" i="2" s="1"/>
  <c r="V86" i="2"/>
  <c r="W86" i="2" s="1"/>
  <c r="I87" i="2"/>
  <c r="W87" i="2"/>
  <c r="H89" i="2"/>
  <c r="I89" i="2" s="1"/>
  <c r="S23" i="2" s="1"/>
  <c r="V89" i="2"/>
  <c r="W89" i="2" s="1"/>
  <c r="W97" i="2"/>
  <c r="V98" i="2"/>
  <c r="V101" i="2" s="1"/>
  <c r="W101" i="2" s="1"/>
  <c r="I99" i="2"/>
  <c r="I100" i="2"/>
  <c r="I102" i="2"/>
  <c r="V104" i="2"/>
  <c r="W104" i="2" s="1"/>
  <c r="S15" i="2" s="1"/>
  <c r="E113" i="2"/>
  <c r="H113" i="2" s="1"/>
  <c r="Q113" i="2"/>
  <c r="U113" i="2" s="1"/>
  <c r="H119" i="2"/>
  <c r="I119" i="2" s="1"/>
  <c r="U119" i="2"/>
  <c r="V119" i="2" s="1"/>
  <c r="E129" i="2"/>
  <c r="H129" i="2" s="1"/>
  <c r="H135" i="2"/>
  <c r="I135" i="2" s="1"/>
  <c r="E145" i="2"/>
  <c r="H145" i="2"/>
  <c r="H149" i="2" s="1"/>
  <c r="E146" i="2"/>
  <c r="H148" i="2"/>
  <c r="I148" i="2" s="1"/>
  <c r="H151" i="2"/>
  <c r="I151" i="2" s="1"/>
  <c r="H153" i="2"/>
  <c r="E5" i="3"/>
  <c r="H5" i="3" s="1"/>
  <c r="H7" i="3" s="1"/>
  <c r="I7" i="3" s="1"/>
  <c r="H11" i="3"/>
  <c r="I11" i="3" s="1"/>
  <c r="E15" i="3"/>
  <c r="H15" i="3" s="1"/>
  <c r="H21" i="3"/>
  <c r="I21" i="3" s="1"/>
  <c r="E27" i="3"/>
  <c r="H27" i="3"/>
  <c r="I27" i="3" s="1"/>
  <c r="H28" i="3"/>
  <c r="I28" i="3"/>
  <c r="H29" i="3"/>
  <c r="I29" i="3" s="1"/>
  <c r="H30" i="3"/>
  <c r="I30" i="3" s="1"/>
  <c r="H33" i="3"/>
  <c r="I33" i="3" s="1"/>
  <c r="H38" i="3"/>
  <c r="H40" i="3" s="1"/>
  <c r="H41" i="3"/>
  <c r="I41" i="3" s="1"/>
  <c r="H44" i="3"/>
  <c r="I44" i="3" s="1"/>
  <c r="E64" i="3"/>
  <c r="H64" i="3" s="1"/>
  <c r="H70" i="3"/>
  <c r="I70" i="3"/>
  <c r="E78" i="3"/>
  <c r="H78" i="3" s="1"/>
  <c r="H84" i="3"/>
  <c r="I84" i="3" s="1"/>
  <c r="E94" i="3"/>
  <c r="H94" i="3"/>
  <c r="H96" i="3" s="1"/>
  <c r="H100" i="3"/>
  <c r="I100" i="3" s="1"/>
  <c r="Q20" i="2" l="1"/>
  <c r="H71" i="2"/>
  <c r="I71" i="2" s="1"/>
  <c r="H67" i="3"/>
  <c r="I67" i="3" s="1"/>
  <c r="H66" i="3"/>
  <c r="I66" i="3" s="1"/>
  <c r="I64" i="3"/>
  <c r="H81" i="3"/>
  <c r="I78" i="3"/>
  <c r="H80" i="3"/>
  <c r="I80" i="3" s="1"/>
  <c r="H84" i="1"/>
  <c r="H135" i="1" s="1"/>
  <c r="H136" i="1" s="1"/>
  <c r="O45" i="1"/>
  <c r="H30" i="1"/>
  <c r="H31" i="1" s="1"/>
  <c r="W98" i="2"/>
  <c r="H42" i="3"/>
  <c r="H42" i="2"/>
  <c r="I42" i="2" s="1"/>
  <c r="S17" i="2" s="1"/>
  <c r="O94" i="1"/>
  <c r="O67" i="1"/>
  <c r="W76" i="2"/>
  <c r="Q21" i="2"/>
  <c r="O58" i="1"/>
  <c r="O102" i="1"/>
  <c r="O39" i="1"/>
  <c r="O116" i="1"/>
  <c r="H147" i="2"/>
  <c r="I147" i="2" s="1"/>
  <c r="O30" i="1"/>
  <c r="O31" i="1" s="1"/>
  <c r="H97" i="3"/>
  <c r="I97" i="3" s="1"/>
  <c r="H129" i="5"/>
  <c r="H39" i="5"/>
  <c r="H84" i="5" s="1"/>
  <c r="H30" i="5"/>
  <c r="H31" i="5" s="1"/>
  <c r="H117" i="2"/>
  <c r="H124" i="2" s="1"/>
  <c r="H115" i="2"/>
  <c r="I115" i="2" s="1"/>
  <c r="H116" i="2"/>
  <c r="I116" i="2" s="1"/>
  <c r="I113" i="2"/>
  <c r="W94" i="2"/>
  <c r="Y85" i="2"/>
  <c r="I96" i="3"/>
  <c r="H102" i="3"/>
  <c r="U116" i="2"/>
  <c r="V116" i="2" s="1"/>
  <c r="U115" i="2"/>
  <c r="V115" i="2" s="1"/>
  <c r="X115" i="2" s="1"/>
  <c r="V113" i="2"/>
  <c r="U117" i="2"/>
  <c r="I52" i="2"/>
  <c r="H55" i="2"/>
  <c r="I55" i="2" s="1"/>
  <c r="Q19" i="2"/>
  <c r="Q18" i="2"/>
  <c r="H54" i="2"/>
  <c r="I54" i="2" s="1"/>
  <c r="O129" i="1"/>
  <c r="I81" i="3"/>
  <c r="I86" i="3" s="1"/>
  <c r="H86" i="3"/>
  <c r="I36" i="2"/>
  <c r="H39" i="2"/>
  <c r="I39" i="2" s="1"/>
  <c r="H38" i="2"/>
  <c r="I38" i="2" s="1"/>
  <c r="K39" i="2" s="1"/>
  <c r="R17" i="2" s="1"/>
  <c r="O83" i="1"/>
  <c r="O84" i="1" s="1"/>
  <c r="I40" i="3"/>
  <c r="H46" i="3"/>
  <c r="I72" i="3"/>
  <c r="K147" i="2"/>
  <c r="H18" i="3"/>
  <c r="I18" i="3" s="1"/>
  <c r="H17" i="3"/>
  <c r="I17" i="3" s="1"/>
  <c r="I15" i="3"/>
  <c r="H132" i="2"/>
  <c r="I132" i="2" s="1"/>
  <c r="H131" i="2"/>
  <c r="I131" i="2" s="1"/>
  <c r="K131" i="2" s="1"/>
  <c r="I129" i="2"/>
  <c r="H133" i="2"/>
  <c r="I34" i="3"/>
  <c r="E53" i="3" s="1"/>
  <c r="E54" i="3" s="1"/>
  <c r="E55" i="3" s="1"/>
  <c r="I69" i="2"/>
  <c r="I5" i="2"/>
  <c r="H156" i="2"/>
  <c r="S19" i="2"/>
  <c r="K138" i="1"/>
  <c r="Q22" i="2"/>
  <c r="I94" i="3"/>
  <c r="I38" i="3"/>
  <c r="I46" i="3" s="1"/>
  <c r="E56" i="3" s="1"/>
  <c r="H8" i="3"/>
  <c r="I8" i="3" s="1"/>
  <c r="I145" i="2"/>
  <c r="I156" i="2" s="1"/>
  <c r="V94" i="2"/>
  <c r="H86" i="2"/>
  <c r="I86" i="2" s="1"/>
  <c r="H85" i="2"/>
  <c r="I85" i="2" s="1"/>
  <c r="H74" i="2"/>
  <c r="H70" i="2"/>
  <c r="I70" i="2" s="1"/>
  <c r="K71" i="2" s="1"/>
  <c r="H22" i="2"/>
  <c r="I22" i="2" s="1"/>
  <c r="Q15" i="2"/>
  <c r="W102" i="2"/>
  <c r="V100" i="2"/>
  <c r="W100" i="2" s="1"/>
  <c r="Y100" i="2" s="1"/>
  <c r="I68" i="2"/>
  <c r="H24" i="2"/>
  <c r="H23" i="2"/>
  <c r="I23" i="2" s="1"/>
  <c r="H8" i="2"/>
  <c r="I8" i="2" s="1"/>
  <c r="K7" i="2" s="1"/>
  <c r="R14" i="2" s="1"/>
  <c r="H34" i="3"/>
  <c r="I5" i="3"/>
  <c r="I83" i="2"/>
  <c r="H9" i="2"/>
  <c r="V109" i="2"/>
  <c r="K22" i="2" l="1"/>
  <c r="W109" i="2"/>
  <c r="H16" i="2"/>
  <c r="R15" i="2"/>
  <c r="K69" i="2"/>
  <c r="H72" i="3"/>
  <c r="O135" i="1"/>
  <c r="O136" i="1" s="1"/>
  <c r="K115" i="2"/>
  <c r="H135" i="5"/>
  <c r="H136" i="5" s="1"/>
  <c r="H140" i="5" s="1"/>
  <c r="H94" i="2"/>
  <c r="I47" i="2"/>
  <c r="K55" i="2"/>
  <c r="I16" i="2"/>
  <c r="Q14" i="2"/>
  <c r="I140" i="2"/>
  <c r="I12" i="3"/>
  <c r="E50" i="3" s="1"/>
  <c r="K85" i="2"/>
  <c r="R23" i="2" s="1"/>
  <c r="I102" i="3"/>
  <c r="H140" i="2"/>
  <c r="H23" i="3"/>
  <c r="I63" i="2"/>
  <c r="Q23" i="2"/>
  <c r="I94" i="2"/>
  <c r="S21" i="2"/>
  <c r="S24" i="2" s="1"/>
  <c r="S32" i="2" s="1"/>
  <c r="I74" i="2"/>
  <c r="I79" i="2" s="1"/>
  <c r="S20" i="2"/>
  <c r="S22" i="2"/>
  <c r="W15" i="2"/>
  <c r="I31" i="2"/>
  <c r="V124" i="2"/>
  <c r="H79" i="2"/>
  <c r="I23" i="3"/>
  <c r="E51" i="3" s="1"/>
  <c r="E52" i="3" s="1"/>
  <c r="K37" i="2"/>
  <c r="Q17" i="2" s="1"/>
  <c r="W17" i="2" s="1"/>
  <c r="H47" i="2"/>
  <c r="H63" i="2"/>
  <c r="I124" i="2"/>
  <c r="R22" i="2"/>
  <c r="W22" i="2" s="1"/>
  <c r="R21" i="2"/>
  <c r="R20" i="2"/>
  <c r="W20" i="2" s="1"/>
  <c r="H31" i="2"/>
  <c r="U124" i="2"/>
  <c r="N124" i="2" l="1"/>
  <c r="Q24" i="2"/>
  <c r="W14" i="2"/>
  <c r="W21" i="2"/>
  <c r="W23" i="2"/>
  <c r="E58" i="3"/>
  <c r="R19" i="2"/>
  <c r="W19" i="2" s="1"/>
  <c r="R18" i="2"/>
  <c r="W18" i="2" l="1"/>
  <c r="R24" i="2"/>
  <c r="V24" i="2" s="1"/>
</calcChain>
</file>

<file path=xl/sharedStrings.xml><?xml version="1.0" encoding="utf-8"?>
<sst xmlns="http://schemas.openxmlformats.org/spreadsheetml/2006/main" count="868" uniqueCount="270">
  <si>
    <t xml:space="preserve"> </t>
  </si>
  <si>
    <t xml:space="preserve">  </t>
  </si>
  <si>
    <t xml:space="preserve">                    Preliminary </t>
  </si>
  <si>
    <t xml:space="preserve">  Budget Jul 2021-June 2022</t>
  </si>
  <si>
    <t xml:space="preserve">  max cap</t>
  </si>
  <si>
    <t xml:space="preserve"> $1500 Access Deve</t>
  </si>
  <si>
    <t xml:space="preserve"> actual calculation</t>
  </si>
  <si>
    <t xml:space="preserve"> Duty Officer on call</t>
  </si>
  <si>
    <t xml:space="preserve"> part time position</t>
  </si>
  <si>
    <t>$ change</t>
  </si>
  <si>
    <t>4001 · Countywide &amp; Unitary Accrued</t>
  </si>
  <si>
    <t xml:space="preserve">  Morongo Valley Community Service District</t>
  </si>
  <si>
    <t xml:space="preserve"> Actual Est Billing</t>
  </si>
  <si>
    <t>$381 premium</t>
  </si>
  <si>
    <t>0 MOU Holiday/3 CA Law sick -w taxes, wc</t>
  </si>
  <si>
    <t>1 per day</t>
  </si>
  <si>
    <t>1.17% avg inc</t>
  </si>
  <si>
    <t>100% 20/21 Allocation</t>
  </si>
  <si>
    <t>12./13</t>
  </si>
  <si>
    <t>2 per shift</t>
  </si>
  <si>
    <t>2020-21</t>
  </si>
  <si>
    <t>2021-22</t>
  </si>
  <si>
    <t>2080 hours year</t>
  </si>
  <si>
    <t>3% Rate Increase</t>
  </si>
  <si>
    <t>4000 · County Taxes</t>
  </si>
  <si>
    <t>4006 · Fire Suppression Assessment</t>
  </si>
  <si>
    <t>4100 · CSD</t>
  </si>
  <si>
    <t>4101 · Community Donations</t>
  </si>
  <si>
    <t>4105 · Interest</t>
  </si>
  <si>
    <t>4107 · Note Payments  Gun Range/Mojave</t>
  </si>
  <si>
    <t>4190 · Income - Other</t>
  </si>
  <si>
    <t>4200 · FIRE SERVICES</t>
  </si>
  <si>
    <t>4291 · Donations</t>
  </si>
  <si>
    <t>4293 · OES Reimbursement</t>
  </si>
  <si>
    <t>4294 · Cost Recovery - Reimbursement</t>
  </si>
  <si>
    <t>4296 · Fire Inspections</t>
  </si>
  <si>
    <t>4300 · COVINGTON PARK</t>
  </si>
  <si>
    <t>4310 · Rents &amp; Concessions</t>
  </si>
  <si>
    <t>4700 · Grant Income</t>
  </si>
  <si>
    <t>4701 · Reimbursable Expenditures</t>
  </si>
  <si>
    <t>4800 · Transfer to Reserves</t>
  </si>
  <si>
    <t>4998 · Sale of Fixed Assets</t>
  </si>
  <si>
    <t>5000 · Administration</t>
  </si>
  <si>
    <t>5002 · Wages - Admin Interim</t>
  </si>
  <si>
    <t>5002 · Wages - Admin Interim Asst</t>
  </si>
  <si>
    <t>5002 · Wages - Administrative</t>
  </si>
  <si>
    <t>5003 · Wages - Support Staff</t>
  </si>
  <si>
    <t>5004 · Wages - Parks</t>
  </si>
  <si>
    <t>5005 · Wages &amp; Benefits</t>
  </si>
  <si>
    <t>5006 · Fire Operations</t>
  </si>
  <si>
    <t>5015 · Payroll Taxes - Employer</t>
  </si>
  <si>
    <t>5018 · CSD Workers Comp.</t>
  </si>
  <si>
    <t>5019 · Employee Benefits</t>
  </si>
  <si>
    <t>5052 · 5252 Water</t>
  </si>
  <si>
    <t>5053 · 5053 Electricity</t>
  </si>
  <si>
    <t>5054 · 5054 Gas</t>
  </si>
  <si>
    <t>5060 · 5060 Telephone</t>
  </si>
  <si>
    <t>5065 · Postage</t>
  </si>
  <si>
    <t>5068 · Printing/Copies</t>
  </si>
  <si>
    <t>5070 · Insurance-General</t>
  </si>
  <si>
    <t>5071 · Repair and Maintenance</t>
  </si>
  <si>
    <t>5073 · Legal &amp; Professional Expense</t>
  </si>
  <si>
    <t>5074 · Internet Service</t>
  </si>
  <si>
    <t>5075 · Publications &amp; Education</t>
  </si>
  <si>
    <t>5076 · Memberships</t>
  </si>
  <si>
    <t>5077 · Registar of Voters Expense</t>
  </si>
  <si>
    <t>5078 · Meeting Expense</t>
  </si>
  <si>
    <t>5080 · Office Expense</t>
  </si>
  <si>
    <t>5081 · Office Equip &amp; Maintenance</t>
  </si>
  <si>
    <t>5082 · Bank Charges</t>
  </si>
  <si>
    <t>5083 · Expenses &amp; Supplies</t>
  </si>
  <si>
    <t>5085 · Auditing/Accounting</t>
  </si>
  <si>
    <t>5087 · Park Lease</t>
  </si>
  <si>
    <t>5096 · Street Lights</t>
  </si>
  <si>
    <t>5100 · Utilities</t>
  </si>
  <si>
    <t>5200 · Debt Service</t>
  </si>
  <si>
    <t>5201 · Compensation - Arson/Investigator</t>
  </si>
  <si>
    <t>5203 · Compensation - Paramedics</t>
  </si>
  <si>
    <t>5204 · Compensation - Engineers</t>
  </si>
  <si>
    <t>5205 · OES &amp; Mutual Aid w/ taxes w/c</t>
  </si>
  <si>
    <t xml:space="preserve">5206 · Compensation - Captain </t>
  </si>
  <si>
    <t>5207 · Compensation - Chief</t>
  </si>
  <si>
    <t>5207.5 · Compensation - Battalion Chief</t>
  </si>
  <si>
    <t>5209 · Payroll Taxes</t>
  </si>
  <si>
    <t>5215 · Worker's Comp. Ins.</t>
  </si>
  <si>
    <t>5219 · Employee Benefits</t>
  </si>
  <si>
    <t>5220 · Lease/Purchase Equip. Reserve</t>
  </si>
  <si>
    <t>5225 · County Dispatch</t>
  </si>
  <si>
    <t>5227 · Communicatons</t>
  </si>
  <si>
    <t>5230 · Subsistance Pay Reserves</t>
  </si>
  <si>
    <t>5232 · EMS Coordinator</t>
  </si>
  <si>
    <t>5234 · Apparatus\Equipment Purchased</t>
  </si>
  <si>
    <t>5235 · Apparatus Gasoline</t>
  </si>
  <si>
    <t>5237 · Inspections ICEMA/Zoll</t>
  </si>
  <si>
    <t>5240 · Apparatus Maint. &amp; Repair</t>
  </si>
  <si>
    <t>5241 · Fire Engine Maint. &amp; Repair</t>
  </si>
  <si>
    <t>5243 · Yearly Equipment Testing</t>
  </si>
  <si>
    <t>5244 · Radio Equipment</t>
  </si>
  <si>
    <t>5245 · Other Expense-Recruitment</t>
  </si>
  <si>
    <t>5247 · Physicals &amp; Vaccinations</t>
  </si>
  <si>
    <t>5249 · Firefighter Personal Equipment</t>
  </si>
  <si>
    <t>5250 · Firefighter Training Expense</t>
  </si>
  <si>
    <t>5252 · Fire Prevention Services</t>
  </si>
  <si>
    <t>5256 · Uniforms</t>
  </si>
  <si>
    <t>5260 · Building Maintenance</t>
  </si>
  <si>
    <t>5265 · Paramedic Supply &amp; Equipment</t>
  </si>
  <si>
    <t>5275 · OES &amp; Mutual Aid Expense</t>
  </si>
  <si>
    <t>5280 · Medical Director</t>
  </si>
  <si>
    <t>5285 · Disaster Preparedness</t>
  </si>
  <si>
    <t>5290 · Special Assessment</t>
  </si>
  <si>
    <t>5293 · Command Vehicle</t>
  </si>
  <si>
    <t>5295 · Office Equipment</t>
  </si>
  <si>
    <t>5296 · Office Expenses &amp; Supplies</t>
  </si>
  <si>
    <t>5297 · Supplies</t>
  </si>
  <si>
    <t>5298 · Memberships &amp; Associations</t>
  </si>
  <si>
    <t>5320 · CP Equipment</t>
  </si>
  <si>
    <t>5365 · CP Buildings</t>
  </si>
  <si>
    <t>5370 · CP Grounds</t>
  </si>
  <si>
    <t>5371 · Ball Park</t>
  </si>
  <si>
    <t>5375 · Gasoline</t>
  </si>
  <si>
    <t>5400 · Grant Expense</t>
  </si>
  <si>
    <t>5401 · Acquisition/Maintenance</t>
  </si>
  <si>
    <t>8 Annual</t>
  </si>
  <si>
    <t>Administration</t>
  </si>
  <si>
    <t>annual</t>
  </si>
  <si>
    <t>Annual</t>
  </si>
  <si>
    <t>Annual Positions</t>
  </si>
  <si>
    <t>Apparatus</t>
  </si>
  <si>
    <t>avg</t>
  </si>
  <si>
    <t>Avg Benefit</t>
  </si>
  <si>
    <t>Avg Rate</t>
  </si>
  <si>
    <t>Base</t>
  </si>
  <si>
    <t>BC Eng</t>
  </si>
  <si>
    <t>BC/Eng</t>
  </si>
  <si>
    <t>Blended rate for budget calculations</t>
  </si>
  <si>
    <t>CA Law sick time potential cost</t>
  </si>
  <si>
    <t>CA Unemployment</t>
  </si>
  <si>
    <t>Calculated across the board increase due to minimum wage changes</t>
  </si>
  <si>
    <t>Calendar</t>
  </si>
  <si>
    <t>Calendar Yr</t>
  </si>
  <si>
    <t>Captain</t>
  </si>
  <si>
    <t>Captain/</t>
  </si>
  <si>
    <t>Captian</t>
  </si>
  <si>
    <t>Captian/Eng</t>
  </si>
  <si>
    <t>Chief</t>
  </si>
  <si>
    <t>Chief  4x10</t>
  </si>
  <si>
    <t>Clerical</t>
  </si>
  <si>
    <t>Compensation</t>
  </si>
  <si>
    <t>Cost per hour</t>
  </si>
  <si>
    <t xml:space="preserve">Cost per hour </t>
  </si>
  <si>
    <t>Current</t>
  </si>
  <si>
    <t xml:space="preserve">Current EE rate </t>
  </si>
  <si>
    <t>Current Pay Rates as of 6/4/2020</t>
  </si>
  <si>
    <t>Current Rate</t>
  </si>
  <si>
    <t>Description</t>
  </si>
  <si>
    <t>Duty Officer</t>
  </si>
  <si>
    <t>Duty Officer return pay</t>
  </si>
  <si>
    <t>Employer cost $218 per  mo</t>
  </si>
  <si>
    <t>Employer cost $228 per  mo</t>
  </si>
  <si>
    <t>EMS</t>
  </si>
  <si>
    <t>Ems Co. 24 week</t>
  </si>
  <si>
    <t>Engineer</t>
  </si>
  <si>
    <t>Eq</t>
  </si>
  <si>
    <t>Extended Steps</t>
  </si>
  <si>
    <t>Fire Pay Rate:  blended step 2 rate - see Fire Payrate Tab</t>
  </si>
  <si>
    <t>Firefighter</t>
  </si>
  <si>
    <t>Fiscal Yr</t>
  </si>
  <si>
    <t>GM</t>
  </si>
  <si>
    <t>GM Only</t>
  </si>
  <si>
    <t>h</t>
  </si>
  <si>
    <t>Hours worked</t>
  </si>
  <si>
    <t>Incentive</t>
  </si>
  <si>
    <t>included</t>
  </si>
  <si>
    <t>increase</t>
  </si>
  <si>
    <t>increase %</t>
  </si>
  <si>
    <t>increased wage</t>
  </si>
  <si>
    <t>Investigator</t>
  </si>
  <si>
    <t>max</t>
  </si>
  <si>
    <t>max cap</t>
  </si>
  <si>
    <t>max cap not met</t>
  </si>
  <si>
    <t>Maximum per original MOU</t>
  </si>
  <si>
    <t xml:space="preserve">Meals </t>
  </si>
  <si>
    <t>Medic</t>
  </si>
  <si>
    <t>Medical Insurance</t>
  </si>
  <si>
    <t>Medicare</t>
  </si>
  <si>
    <t>Meeting</t>
  </si>
  <si>
    <t>Mileage</t>
  </si>
  <si>
    <t>Minimum per original MOU</t>
  </si>
  <si>
    <t>Minimum Wage</t>
  </si>
  <si>
    <t xml:space="preserve">Minimum wage </t>
  </si>
  <si>
    <t>Minimum Wage/staffing</t>
  </si>
  <si>
    <t>month</t>
  </si>
  <si>
    <t>Morongo Valley Fire - Average per hour calculation</t>
  </si>
  <si>
    <t>mou</t>
  </si>
  <si>
    <t>MOU HOlidays</t>
  </si>
  <si>
    <t>Notes;</t>
  </si>
  <si>
    <t>Operating Supplies</t>
  </si>
  <si>
    <t xml:space="preserve">OT </t>
  </si>
  <si>
    <t>OT Excess</t>
  </si>
  <si>
    <t>OT hours</t>
  </si>
  <si>
    <t>Paramedic</t>
  </si>
  <si>
    <t>Paramedic per shift</t>
  </si>
  <si>
    <t>Parks</t>
  </si>
  <si>
    <t xml:space="preserve">part time </t>
  </si>
  <si>
    <t>per contract, 3%</t>
  </si>
  <si>
    <t>Rate</t>
  </si>
  <si>
    <t>Rate and MOU.</t>
  </si>
  <si>
    <t>Rate increase</t>
  </si>
  <si>
    <t>reduced expense</t>
  </si>
  <si>
    <t>Regular</t>
  </si>
  <si>
    <t>Reserve shift</t>
  </si>
  <si>
    <t>sdrma $3004</t>
  </si>
  <si>
    <t>SDRMA Est</t>
  </si>
  <si>
    <t>shifts</t>
  </si>
  <si>
    <t>Social Security</t>
  </si>
  <si>
    <t>Starting with rates in original MOU</t>
  </si>
  <si>
    <t>step 1</t>
  </si>
  <si>
    <t>Step 1</t>
  </si>
  <si>
    <t>step 2</t>
  </si>
  <si>
    <t>Step 2</t>
  </si>
  <si>
    <t>step 3</t>
  </si>
  <si>
    <t>Step 4</t>
  </si>
  <si>
    <t>Summary</t>
  </si>
  <si>
    <t>Total 4000 · County Taxes</t>
  </si>
  <si>
    <t>Total 4100 · CSD</t>
  </si>
  <si>
    <t>Total 4200 · FIRE SERVICES</t>
  </si>
  <si>
    <t>Total 4300 · COVINGTON PARK</t>
  </si>
  <si>
    <t>Total 4700 · Grant Income</t>
  </si>
  <si>
    <t>Total 5000 · Administration</t>
  </si>
  <si>
    <t>Total 5005 · Wages &amp; Benefits</t>
  </si>
  <si>
    <t>Total 5006 · Fire Operations</t>
  </si>
  <si>
    <t>Total 5071 · Repair and Maintenance</t>
  </si>
  <si>
    <t>Total 5080 · Office Expense</t>
  </si>
  <si>
    <t>Total 5100 · Utilities</t>
  </si>
  <si>
    <t>Total 5200 · Debt Service</t>
  </si>
  <si>
    <t>Total 5400 · Grant Expense</t>
  </si>
  <si>
    <t>Expense</t>
  </si>
  <si>
    <t>Gross Profit</t>
  </si>
  <si>
    <t>Income</t>
  </si>
  <si>
    <t>Net Income</t>
  </si>
  <si>
    <t>Net Ordinary Income</t>
  </si>
  <si>
    <t>Ordinary Income/Expense</t>
  </si>
  <si>
    <t>Tax</t>
  </si>
  <si>
    <t>Total</t>
  </si>
  <si>
    <t>Total Administration</t>
  </si>
  <si>
    <t>Total Apparatus</t>
  </si>
  <si>
    <t>Total Compensation</t>
  </si>
  <si>
    <t>Total Expense</t>
  </si>
  <si>
    <t>Total hours</t>
  </si>
  <si>
    <t>Total Income</t>
  </si>
  <si>
    <t>Total Operating Supplies</t>
  </si>
  <si>
    <t>Total Training &amp; Safety</t>
  </si>
  <si>
    <t>Trainee</t>
  </si>
  <si>
    <t>Training &amp; Safety</t>
  </si>
  <si>
    <t>Volunteer</t>
  </si>
  <si>
    <t>Wage</t>
  </si>
  <si>
    <t>wc</t>
  </si>
  <si>
    <t>Website/postings</t>
  </si>
  <si>
    <t>Weekends</t>
  </si>
  <si>
    <t>Weekly</t>
  </si>
  <si>
    <t>Work Comp</t>
  </si>
  <si>
    <t>Work Comp  per shift</t>
  </si>
  <si>
    <t>work comp at 2020-21 rates</t>
  </si>
  <si>
    <t>worked</t>
  </si>
  <si>
    <t>x</t>
  </si>
  <si>
    <t>May 5th</t>
  </si>
  <si>
    <t>May 18th</t>
  </si>
  <si>
    <t>May 19th</t>
  </si>
  <si>
    <t xml:space="preserve">  Budget July 2021-June 2022</t>
  </si>
  <si>
    <t xml:space="preserve">                    Preliminary -Unapproved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</si>
</sst>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.00"/>
    <numFmt numFmtId="165" formatCode="[$$-409]\ #,##0"/>
    <numFmt numFmtId="166" formatCode="[$$-409]* #,##0.00_);_([$$-409]* \#\,##0.00\);_([$$-409]* &quot;-&quot;??_);_(@_)"/>
  </numFmts>
  <fonts count="14">
    <font>
      <sz val="10"/>
      <name val="Arial"/>
    </font>
    <font>
      <b/>
      <sz val="18"/>
      <name val="Arial"/>
    </font>
    <font>
      <b/>
      <sz val="12"/>
      <name val="Arial"/>
    </font>
    <font>
      <b/>
      <sz val="8"/>
      <name val="Arial"/>
    </font>
    <font>
      <b/>
      <sz val="10"/>
      <name val="Arial"/>
    </font>
    <font>
      <sz val="10"/>
      <name val="Calibri"/>
    </font>
    <font>
      <b/>
      <sz val="14"/>
      <name val="Arial"/>
    </font>
    <font>
      <sz val="11"/>
      <name val="Calibri"/>
    </font>
    <font>
      <sz val="10"/>
      <color indexed="12"/>
      <name val="Arial"/>
    </font>
    <font>
      <b/>
      <sz val="11"/>
      <color indexed="10"/>
      <name val="Calibri"/>
    </font>
    <font>
      <b/>
      <sz val="11"/>
      <color indexed="12"/>
      <name val="Calibri"/>
    </font>
    <font>
      <sz val="11"/>
      <color indexed="10"/>
      <name val="Calibri"/>
    </font>
    <font>
      <sz val="11"/>
      <color indexed="12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1"/>
      </patternFill>
    </fill>
    <fill>
      <patternFill patternType="solid">
        <fgColor indexed="9"/>
        <bgColor indexed="11"/>
      </patternFill>
    </fill>
  </fills>
  <borders count="9">
    <border>
      <left/>
      <right/>
      <top/>
      <bottom/>
      <diagonal/>
    </border>
    <border>
      <left/>
      <right/>
      <top style="double">
        <color indexed="11"/>
      </top>
      <bottom/>
      <diagonal/>
    </border>
    <border>
      <left/>
      <right/>
      <top/>
      <bottom style="medium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/>
      <top style="medium">
        <color indexed="11"/>
      </top>
      <bottom style="medium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3" fontId="13" fillId="0" borderId="0"/>
    <xf numFmtId="164" fontId="13" fillId="0" borderId="0"/>
    <xf numFmtId="166" fontId="13" fillId="0" borderId="0"/>
    <xf numFmtId="165" fontId="13" fillId="0" borderId="0"/>
    <xf numFmtId="22" fontId="13" fillId="0" borderId="0"/>
    <xf numFmtId="2" fontId="13" fillId="0" borderId="0"/>
    <xf numFmtId="0" fontId="1" fillId="0" borderId="0"/>
    <xf numFmtId="0" fontId="2" fillId="0" borderId="0"/>
    <xf numFmtId="0" fontId="13" fillId="0" borderId="0"/>
    <xf numFmtId="0" fontId="13" fillId="0" borderId="1"/>
  </cellStyleXfs>
  <cellXfs count="47">
    <xf numFmtId="0" fontId="0" fillId="0" borderId="0" xfId="0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3" fontId="0" fillId="0" borderId="0" xfId="0" applyNumberFormat="1"/>
    <xf numFmtId="0" fontId="6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22" fontId="0" fillId="0" borderId="0" xfId="0" applyNumberFormat="1"/>
    <xf numFmtId="0" fontId="0" fillId="2" borderId="0" xfId="0" applyFill="1"/>
    <xf numFmtId="3" fontId="0" fillId="0" borderId="2" xfId="0" applyNumberFormat="1" applyBorder="1"/>
    <xf numFmtId="3" fontId="4" fillId="0" borderId="0" xfId="0" applyNumberFormat="1" applyFont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0" fillId="0" borderId="3" xfId="0" applyNumberFormat="1" applyBorder="1"/>
    <xf numFmtId="3" fontId="0" fillId="0" borderId="6" xfId="0" applyNumberFormat="1" applyBorder="1"/>
    <xf numFmtId="3" fontId="0" fillId="0" borderId="4" xfId="0" applyNumberFormat="1" applyBorder="1"/>
    <xf numFmtId="1" fontId="4" fillId="0" borderId="0" xfId="0" applyNumberFormat="1" applyFont="1"/>
    <xf numFmtId="0" fontId="13" fillId="0" borderId="0" xfId="9"/>
    <xf numFmtId="0" fontId="13" fillId="2" borderId="0" xfId="9" applyFill="1"/>
    <xf numFmtId="166" fontId="13" fillId="0" borderId="0" xfId="3"/>
    <xf numFmtId="166" fontId="13" fillId="0" borderId="0" xfId="9" applyNumberFormat="1"/>
    <xf numFmtId="10" fontId="13" fillId="0" borderId="0" xfId="9" applyNumberFormat="1"/>
    <xf numFmtId="166" fontId="0" fillId="0" borderId="0" xfId="0" applyNumberFormat="1"/>
    <xf numFmtId="164" fontId="13" fillId="0" borderId="0" xfId="9" applyNumberFormat="1"/>
    <xf numFmtId="164" fontId="13" fillId="0" borderId="0" xfId="2"/>
    <xf numFmtId="166" fontId="13" fillId="0" borderId="7" xfId="3" applyBorder="1"/>
    <xf numFmtId="0" fontId="13" fillId="0" borderId="7" xfId="9" applyBorder="1"/>
    <xf numFmtId="166" fontId="13" fillId="0" borderId="0" xfId="2" applyNumberFormat="1"/>
    <xf numFmtId="2" fontId="13" fillId="0" borderId="0" xfId="9" applyNumberFormat="1"/>
    <xf numFmtId="2" fontId="13" fillId="0" borderId="0" xfId="3" applyNumberFormat="1"/>
    <xf numFmtId="166" fontId="0" fillId="3" borderId="0" xfId="0" applyNumberFormat="1" applyFill="1"/>
    <xf numFmtId="164" fontId="8" fillId="0" borderId="0" xfId="9" applyNumberFormat="1" applyFont="1"/>
    <xf numFmtId="164" fontId="13" fillId="0" borderId="7" xfId="9" applyNumberFormat="1" applyBorder="1"/>
    <xf numFmtId="166" fontId="4" fillId="0" borderId="0" xfId="9" applyNumberFormat="1" applyFont="1"/>
    <xf numFmtId="166" fontId="13" fillId="0" borderId="2" xfId="2" applyNumberFormat="1" applyBorder="1"/>
    <xf numFmtId="2" fontId="13" fillId="0" borderId="0" xfId="2" applyNumberFormat="1"/>
    <xf numFmtId="2" fontId="13" fillId="2" borderId="0" xfId="2" applyNumberFormat="1" applyFill="1"/>
    <xf numFmtId="166" fontId="7" fillId="0" borderId="0" xfId="2" applyNumberFormat="1" applyFont="1"/>
    <xf numFmtId="166" fontId="9" fillId="0" borderId="0" xfId="2" applyNumberFormat="1" applyFont="1"/>
    <xf numFmtId="166" fontId="10" fillId="0" borderId="0" xfId="2" applyNumberFormat="1" applyFont="1"/>
    <xf numFmtId="0" fontId="11" fillId="0" borderId="0" xfId="0" applyFont="1"/>
    <xf numFmtId="0" fontId="12" fillId="0" borderId="0" xfId="0" applyFont="1"/>
    <xf numFmtId="16" fontId="0" fillId="0" borderId="0" xfId="0" applyNumberFormat="1"/>
    <xf numFmtId="3" fontId="4" fillId="0" borderId="8" xfId="0" applyNumberFormat="1" applyFont="1" applyBorder="1"/>
  </cellXfs>
  <cellStyles count="11">
    <cellStyle name="Comma0" xfId="1" xr:uid="{00000000-0005-0000-0000-000000000000}"/>
    <cellStyle name="Currency" xfId="2" builtinId="4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Normal 2" xfId="9" xr:uid="{00000000-0005-0000-0000-000009000000}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44546A"/>
      <rgbColor rgb="0000B050"/>
      <rgbColor rgb="00000000"/>
      <rgbColor rgb="00FF0000"/>
      <rgbColor rgb="00FFFF00"/>
      <rgbColor rgb="00FFFF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4546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4546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0"/>
  <sheetViews>
    <sheetView tabSelected="1" workbookViewId="0">
      <selection activeCell="G5" sqref="G5"/>
    </sheetView>
  </sheetViews>
  <sheetFormatPr defaultRowHeight="13.2"/>
  <cols>
    <col min="7" max="7" width="37.33203125" customWidth="1"/>
  </cols>
  <sheetData>
    <row r="2" spans="1:8" ht="17.399999999999999">
      <c r="F2" s="5" t="s">
        <v>11</v>
      </c>
    </row>
    <row r="3" spans="1:8" ht="17.399999999999999">
      <c r="F3" s="6"/>
      <c r="G3" s="5" t="s">
        <v>268</v>
      </c>
      <c r="H3" s="7"/>
    </row>
    <row r="4" spans="1:8">
      <c r="G4" t="s">
        <v>269</v>
      </c>
    </row>
    <row r="5" spans="1:8">
      <c r="A5" s="8"/>
      <c r="H5" s="1"/>
    </row>
    <row r="6" spans="1:8">
      <c r="A6" s="8"/>
      <c r="B6" t="s">
        <v>241</v>
      </c>
    </row>
    <row r="7" spans="1:8">
      <c r="A7" s="8"/>
      <c r="D7" t="s">
        <v>238</v>
      </c>
    </row>
    <row r="8" spans="1:8">
      <c r="A8" s="8"/>
      <c r="E8" t="s">
        <v>24</v>
      </c>
    </row>
    <row r="9" spans="1:8">
      <c r="A9" s="8"/>
      <c r="F9" t="s">
        <v>10</v>
      </c>
      <c r="H9" s="4">
        <v>492355</v>
      </c>
    </row>
    <row r="10" spans="1:8">
      <c r="A10" s="8"/>
      <c r="F10" t="s">
        <v>25</v>
      </c>
      <c r="H10" s="4">
        <v>348628</v>
      </c>
    </row>
    <row r="11" spans="1:8">
      <c r="A11" s="8"/>
      <c r="E11" t="s">
        <v>223</v>
      </c>
      <c r="H11" s="12">
        <f>ROUND(SUM(H8:H10),5)</f>
        <v>840983</v>
      </c>
    </row>
    <row r="12" spans="1:8">
      <c r="A12" s="8"/>
      <c r="E12" t="s">
        <v>26</v>
      </c>
      <c r="H12" s="4"/>
    </row>
    <row r="13" spans="1:8">
      <c r="A13" s="8"/>
      <c r="F13" t="s">
        <v>27</v>
      </c>
      <c r="H13" s="4">
        <v>2012</v>
      </c>
    </row>
    <row r="14" spans="1:8">
      <c r="A14" s="8"/>
      <c r="F14" t="s">
        <v>28</v>
      </c>
      <c r="H14" s="4">
        <v>0</v>
      </c>
    </row>
    <row r="15" spans="1:8">
      <c r="A15" s="8"/>
      <c r="F15" t="s">
        <v>29</v>
      </c>
      <c r="H15" s="4">
        <v>3334</v>
      </c>
    </row>
    <row r="16" spans="1:8">
      <c r="A16" s="8"/>
      <c r="F16" t="s">
        <v>30</v>
      </c>
      <c r="H16" s="4">
        <f>+'Worksheet 20_21 Budget '!O16</f>
        <v>0</v>
      </c>
    </row>
    <row r="17" spans="1:8">
      <c r="A17" s="8"/>
      <c r="E17" t="s">
        <v>224</v>
      </c>
      <c r="H17" s="12">
        <f>ROUND(SUM(H12:H16),5)</f>
        <v>5346</v>
      </c>
    </row>
    <row r="18" spans="1:8">
      <c r="A18" s="8"/>
      <c r="E18" t="s">
        <v>31</v>
      </c>
      <c r="H18" s="4"/>
    </row>
    <row r="19" spans="1:8">
      <c r="A19" s="8"/>
      <c r="F19" t="s">
        <v>32</v>
      </c>
      <c r="H19" s="4">
        <v>5000</v>
      </c>
    </row>
    <row r="20" spans="1:8">
      <c r="A20" s="8"/>
      <c r="F20" t="s">
        <v>33</v>
      </c>
      <c r="H20" s="4">
        <v>5000</v>
      </c>
    </row>
    <row r="21" spans="1:8">
      <c r="A21" s="8"/>
      <c r="F21" t="s">
        <v>34</v>
      </c>
      <c r="H21" s="4">
        <v>3500</v>
      </c>
    </row>
    <row r="22" spans="1:8">
      <c r="A22" s="8"/>
      <c r="F22" t="s">
        <v>35</v>
      </c>
      <c r="H22" s="4">
        <v>2400</v>
      </c>
    </row>
    <row r="23" spans="1:8">
      <c r="A23" s="8"/>
      <c r="E23" t="s">
        <v>225</v>
      </c>
      <c r="H23" s="46">
        <f>ROUND(SUM(H18:H22),5)</f>
        <v>15900</v>
      </c>
    </row>
    <row r="24" spans="1:8">
      <c r="A24" s="8"/>
      <c r="E24" t="s">
        <v>36</v>
      </c>
      <c r="H24" s="4"/>
    </row>
    <row r="25" spans="1:8" ht="13.8" thickBot="1">
      <c r="A25" s="8"/>
      <c r="F25" t="s">
        <v>37</v>
      </c>
      <c r="H25" s="11">
        <v>3000</v>
      </c>
    </row>
    <row r="26" spans="1:8">
      <c r="A26" s="8"/>
      <c r="E26" t="s">
        <v>226</v>
      </c>
      <c r="H26" s="12">
        <f>ROUND(SUM(H24:H25),5)</f>
        <v>3000</v>
      </c>
    </row>
    <row r="27" spans="1:8">
      <c r="A27" s="8"/>
      <c r="E27" t="s">
        <v>38</v>
      </c>
      <c r="H27" s="4"/>
    </row>
    <row r="28" spans="1:8" ht="13.8" thickBot="1">
      <c r="A28" s="8"/>
      <c r="F28" t="s">
        <v>39</v>
      </c>
      <c r="H28" s="4">
        <v>10000</v>
      </c>
    </row>
    <row r="29" spans="1:8" ht="13.8" thickBot="1">
      <c r="A29" s="8"/>
      <c r="E29" t="s">
        <v>227</v>
      </c>
      <c r="H29" s="14">
        <f>ROUND(SUM(H27:H28),5)</f>
        <v>10000</v>
      </c>
    </row>
    <row r="30" spans="1:8" ht="13.8" thickBot="1">
      <c r="A30" s="8"/>
      <c r="D30" t="s">
        <v>249</v>
      </c>
      <c r="H30" s="15">
        <f>ROUND(H11+H17+H23+H26+H29,5)</f>
        <v>875229</v>
      </c>
    </row>
    <row r="31" spans="1:8">
      <c r="A31" s="8"/>
      <c r="C31" t="s">
        <v>237</v>
      </c>
      <c r="H31" s="12">
        <f>H30</f>
        <v>875229</v>
      </c>
    </row>
    <row r="32" spans="1:8">
      <c r="A32" s="8"/>
      <c r="D32" t="s">
        <v>236</v>
      </c>
      <c r="H32" s="4"/>
    </row>
    <row r="33" spans="1:8">
      <c r="A33" s="8"/>
      <c r="E33" t="s">
        <v>49</v>
      </c>
      <c r="H33" s="4"/>
    </row>
    <row r="34" spans="1:8">
      <c r="A34" s="8"/>
      <c r="F34" t="s">
        <v>196</v>
      </c>
      <c r="H34" s="4"/>
    </row>
    <row r="35" spans="1:8">
      <c r="A35" s="8"/>
      <c r="G35" t="s">
        <v>102</v>
      </c>
      <c r="H35" s="4">
        <v>1000</v>
      </c>
    </row>
    <row r="36" spans="1:8">
      <c r="A36" s="8"/>
      <c r="G36" t="s">
        <v>105</v>
      </c>
      <c r="H36" s="4">
        <v>8000</v>
      </c>
    </row>
    <row r="37" spans="1:8">
      <c r="A37" s="8"/>
      <c r="G37" t="s">
        <v>106</v>
      </c>
      <c r="H37" s="4">
        <v>0</v>
      </c>
    </row>
    <row r="38" spans="1:8">
      <c r="A38" s="8"/>
      <c r="G38" t="s">
        <v>108</v>
      </c>
      <c r="H38" s="4">
        <f>+'Worksheet 20_21 Budget '!O38</f>
        <v>0</v>
      </c>
    </row>
    <row r="39" spans="1:8">
      <c r="A39" s="8"/>
      <c r="F39" t="s">
        <v>250</v>
      </c>
      <c r="H39" s="46">
        <f>ROUND(SUM(H34:H38),5)</f>
        <v>9000</v>
      </c>
    </row>
    <row r="40" spans="1:8">
      <c r="A40" s="8"/>
      <c r="F40" t="s">
        <v>253</v>
      </c>
      <c r="H40" s="4"/>
    </row>
    <row r="41" spans="1:8">
      <c r="A41" s="8"/>
      <c r="G41" t="s">
        <v>99</v>
      </c>
      <c r="H41" s="4">
        <v>1700</v>
      </c>
    </row>
    <row r="42" spans="1:8">
      <c r="A42" s="8"/>
      <c r="G42" t="s">
        <v>100</v>
      </c>
      <c r="H42" s="4">
        <v>4000</v>
      </c>
    </row>
    <row r="43" spans="1:8">
      <c r="A43" s="8"/>
      <c r="G43" t="s">
        <v>101</v>
      </c>
      <c r="H43" s="4">
        <v>2500</v>
      </c>
    </row>
    <row r="44" spans="1:8">
      <c r="A44" s="8"/>
      <c r="G44" t="s">
        <v>103</v>
      </c>
      <c r="H44" s="4">
        <v>8000</v>
      </c>
    </row>
    <row r="45" spans="1:8">
      <c r="A45" s="8"/>
      <c r="F45" t="s">
        <v>251</v>
      </c>
      <c r="H45" s="46">
        <f>ROUND(SUM(H40:H44),5)</f>
        <v>16200</v>
      </c>
    </row>
    <row r="46" spans="1:8">
      <c r="A46" s="8"/>
      <c r="F46" t="s">
        <v>123</v>
      </c>
      <c r="H46" s="4"/>
    </row>
    <row r="47" spans="1:8">
      <c r="A47" s="8"/>
      <c r="G47" t="s">
        <v>87</v>
      </c>
      <c r="H47" s="4">
        <v>11110</v>
      </c>
    </row>
    <row r="48" spans="1:8">
      <c r="A48" s="8"/>
      <c r="G48" t="s">
        <v>88</v>
      </c>
      <c r="H48" s="4">
        <v>6511</v>
      </c>
    </row>
    <row r="49" spans="1:8">
      <c r="A49" s="8"/>
      <c r="G49" t="s">
        <v>93</v>
      </c>
      <c r="H49" s="4">
        <v>2400</v>
      </c>
    </row>
    <row r="50" spans="1:8">
      <c r="A50" s="8"/>
      <c r="G50" t="s">
        <v>98</v>
      </c>
      <c r="H50" s="4">
        <v>0</v>
      </c>
    </row>
    <row r="51" spans="1:8">
      <c r="A51" s="8"/>
      <c r="G51" t="s">
        <v>104</v>
      </c>
      <c r="H51" s="4">
        <v>3000</v>
      </c>
    </row>
    <row r="52" spans="1:8">
      <c r="A52" s="8"/>
      <c r="G52" t="s">
        <v>107</v>
      </c>
      <c r="H52" s="4">
        <v>5000</v>
      </c>
    </row>
    <row r="53" spans="1:8">
      <c r="A53" s="8"/>
      <c r="G53" t="s">
        <v>109</v>
      </c>
      <c r="H53" s="4">
        <v>2900</v>
      </c>
    </row>
    <row r="54" spans="1:8">
      <c r="A54" s="8"/>
      <c r="G54" t="s">
        <v>111</v>
      </c>
      <c r="H54" s="4">
        <v>1500</v>
      </c>
    </row>
    <row r="55" spans="1:8">
      <c r="A55" s="8"/>
      <c r="G55" t="s">
        <v>112</v>
      </c>
      <c r="H55" s="4">
        <v>1050</v>
      </c>
    </row>
    <row r="56" spans="1:8">
      <c r="A56" s="8"/>
      <c r="G56" t="s">
        <v>113</v>
      </c>
      <c r="H56" s="4">
        <v>2100</v>
      </c>
    </row>
    <row r="57" spans="1:8">
      <c r="A57" s="8"/>
      <c r="G57" t="s">
        <v>114</v>
      </c>
      <c r="H57" s="4">
        <v>400</v>
      </c>
    </row>
    <row r="58" spans="1:8">
      <c r="A58" s="8"/>
      <c r="F58" t="s">
        <v>244</v>
      </c>
      <c r="H58" s="46">
        <f>ROUND(SUM(H46:H57),5)</f>
        <v>35971</v>
      </c>
    </row>
    <row r="59" spans="1:8">
      <c r="A59" s="8"/>
      <c r="F59" t="s">
        <v>127</v>
      </c>
      <c r="H59" s="4"/>
    </row>
    <row r="60" spans="1:8">
      <c r="A60" s="8"/>
      <c r="G60" t="s">
        <v>91</v>
      </c>
      <c r="H60" s="4">
        <v>9750</v>
      </c>
    </row>
    <row r="61" spans="1:8">
      <c r="A61" s="8"/>
      <c r="G61" t="s">
        <v>92</v>
      </c>
      <c r="H61" s="4">
        <v>13000</v>
      </c>
    </row>
    <row r="62" spans="1:8">
      <c r="A62" s="8"/>
      <c r="G62" t="s">
        <v>94</v>
      </c>
      <c r="H62" s="4">
        <v>2000</v>
      </c>
    </row>
    <row r="63" spans="1:8">
      <c r="A63" s="8"/>
      <c r="G63" t="s">
        <v>95</v>
      </c>
      <c r="H63" s="4">
        <v>10000</v>
      </c>
    </row>
    <row r="64" spans="1:8">
      <c r="A64" s="8"/>
      <c r="G64" t="s">
        <v>96</v>
      </c>
      <c r="H64" s="4">
        <v>3500</v>
      </c>
    </row>
    <row r="65" spans="1:8">
      <c r="A65" s="8"/>
      <c r="G65" t="s">
        <v>97</v>
      </c>
      <c r="H65" s="4">
        <v>1250</v>
      </c>
    </row>
    <row r="66" spans="1:8">
      <c r="A66" s="8"/>
      <c r="G66" t="s">
        <v>110</v>
      </c>
      <c r="H66" s="4">
        <v>2000</v>
      </c>
    </row>
    <row r="67" spans="1:8">
      <c r="A67" s="8"/>
      <c r="F67" t="s">
        <v>245</v>
      </c>
      <c r="H67" s="46">
        <f>ROUND(SUM(H59:H66),5)</f>
        <v>41500</v>
      </c>
    </row>
    <row r="68" spans="1:8">
      <c r="A68" s="8"/>
      <c r="F68" t="s">
        <v>147</v>
      </c>
      <c r="H68" s="4"/>
    </row>
    <row r="69" spans="1:8">
      <c r="A69" s="8"/>
      <c r="G69" t="s">
        <v>77</v>
      </c>
      <c r="H69" s="4">
        <v>138692</v>
      </c>
    </row>
    <row r="70" spans="1:8">
      <c r="A70" s="8"/>
      <c r="G70" t="s">
        <v>78</v>
      </c>
      <c r="H70" s="4">
        <v>97656</v>
      </c>
    </row>
    <row r="71" spans="1:8">
      <c r="A71" s="8"/>
      <c r="G71" t="s">
        <v>79</v>
      </c>
      <c r="H71" s="4">
        <v>9000</v>
      </c>
    </row>
    <row r="72" spans="1:8">
      <c r="A72" s="8"/>
      <c r="G72" t="s">
        <v>80</v>
      </c>
      <c r="H72" s="4">
        <v>53914</v>
      </c>
    </row>
    <row r="73" spans="1:8">
      <c r="A73" s="8"/>
      <c r="G73" t="s">
        <v>7</v>
      </c>
      <c r="H73" s="4">
        <v>44950</v>
      </c>
    </row>
    <row r="74" spans="1:8">
      <c r="A74" s="8"/>
      <c r="G74" t="s">
        <v>82</v>
      </c>
      <c r="H74" s="4">
        <f>+'Worksheet 20_21 Budget '!O74</f>
        <v>0</v>
      </c>
    </row>
    <row r="75" spans="1:8">
      <c r="A75" s="8"/>
      <c r="G75" t="s">
        <v>81</v>
      </c>
      <c r="H75" s="4">
        <v>56492</v>
      </c>
    </row>
    <row r="76" spans="1:8">
      <c r="A76" s="8"/>
      <c r="G76" t="s">
        <v>76</v>
      </c>
      <c r="H76" s="4">
        <f>+'Worksheet 20_21 Budget '!O76</f>
        <v>0</v>
      </c>
    </row>
    <row r="77" spans="1:8">
      <c r="A77" s="8"/>
      <c r="G77" t="s">
        <v>83</v>
      </c>
      <c r="H77" s="4">
        <v>35845</v>
      </c>
    </row>
    <row r="78" spans="1:8">
      <c r="A78" s="8"/>
      <c r="G78" t="s">
        <v>84</v>
      </c>
      <c r="H78" s="4">
        <v>21145</v>
      </c>
    </row>
    <row r="79" spans="1:8">
      <c r="A79" s="8"/>
      <c r="G79" t="s">
        <v>85</v>
      </c>
      <c r="H79" s="4">
        <v>24000</v>
      </c>
    </row>
    <row r="80" spans="1:8">
      <c r="A80" s="8"/>
      <c r="G80" t="s">
        <v>89</v>
      </c>
      <c r="H80" s="4">
        <v>45500</v>
      </c>
    </row>
    <row r="81" spans="1:8">
      <c r="A81" s="8"/>
      <c r="G81" t="s">
        <v>90</v>
      </c>
      <c r="H81" s="4">
        <v>10000</v>
      </c>
    </row>
    <row r="82" spans="1:8" ht="13.8" thickBot="1">
      <c r="A82" s="8"/>
      <c r="G82" t="s">
        <v>14</v>
      </c>
      <c r="H82" s="4">
        <v>19286</v>
      </c>
    </row>
    <row r="83" spans="1:8" ht="13.8" thickBot="1">
      <c r="A83" s="8"/>
      <c r="F83" t="s">
        <v>246</v>
      </c>
      <c r="H83" s="15">
        <f>ROUND(SUM(H68:H82),5)</f>
        <v>556480</v>
      </c>
    </row>
    <row r="84" spans="1:8">
      <c r="A84" s="8"/>
      <c r="E84" t="s">
        <v>230</v>
      </c>
      <c r="H84" s="12">
        <f>ROUND(H33+H39+H45+H58+H67+H83,5)</f>
        <v>659151</v>
      </c>
    </row>
    <row r="85" spans="1:8">
      <c r="A85" s="8"/>
      <c r="E85" t="s">
        <v>48</v>
      </c>
      <c r="H85" s="4"/>
    </row>
    <row r="86" spans="1:8">
      <c r="A86" s="8"/>
      <c r="F86" t="s">
        <v>45</v>
      </c>
      <c r="H86" s="4">
        <v>22495</v>
      </c>
    </row>
    <row r="87" spans="1:8">
      <c r="A87" s="8"/>
      <c r="F87" t="s">
        <v>43</v>
      </c>
      <c r="H87" s="4">
        <f>+'Worksheet 20_21 Budget '!O87</f>
        <v>0</v>
      </c>
    </row>
    <row r="88" spans="1:8">
      <c r="A88" s="8"/>
      <c r="F88" t="s">
        <v>44</v>
      </c>
      <c r="H88" s="4">
        <f>+'Worksheet 20_21 Budget '!O88</f>
        <v>0</v>
      </c>
    </row>
    <row r="89" spans="1:8">
      <c r="A89" s="8"/>
      <c r="F89" t="s">
        <v>46</v>
      </c>
      <c r="H89" s="4">
        <v>21880</v>
      </c>
    </row>
    <row r="90" spans="1:8">
      <c r="A90" s="8"/>
      <c r="F90" t="s">
        <v>47</v>
      </c>
      <c r="H90" s="4">
        <v>34320</v>
      </c>
    </row>
    <row r="91" spans="1:8">
      <c r="A91" s="8"/>
      <c r="F91" t="s">
        <v>50</v>
      </c>
      <c r="H91" s="4">
        <v>7271</v>
      </c>
    </row>
    <row r="92" spans="1:8">
      <c r="A92" s="8"/>
      <c r="F92" t="s">
        <v>51</v>
      </c>
      <c r="H92" s="4">
        <v>3616</v>
      </c>
    </row>
    <row r="93" spans="1:8">
      <c r="A93" s="8"/>
      <c r="F93" t="s">
        <v>52</v>
      </c>
      <c r="H93" s="4">
        <v>6972</v>
      </c>
    </row>
    <row r="94" spans="1:8">
      <c r="A94" s="8"/>
      <c r="E94" t="s">
        <v>229</v>
      </c>
      <c r="H94" s="46">
        <f>ROUND(SUM(H85:H93),5)</f>
        <v>96554</v>
      </c>
    </row>
    <row r="95" spans="1:8">
      <c r="A95" s="8"/>
      <c r="E95" t="s">
        <v>42</v>
      </c>
      <c r="H95" s="4"/>
    </row>
    <row r="96" spans="1:8">
      <c r="A96" s="8"/>
      <c r="F96" t="s">
        <v>60</v>
      </c>
      <c r="H96" s="4"/>
    </row>
    <row r="97" spans="1:8">
      <c r="A97" s="8"/>
      <c r="G97" t="s">
        <v>115</v>
      </c>
      <c r="H97" s="4">
        <v>3600</v>
      </c>
    </row>
    <row r="98" spans="1:8">
      <c r="A98" s="8"/>
      <c r="G98" t="s">
        <v>116</v>
      </c>
      <c r="H98" s="4">
        <v>6000</v>
      </c>
    </row>
    <row r="99" spans="1:8">
      <c r="A99" s="8"/>
      <c r="G99" t="s">
        <v>117</v>
      </c>
      <c r="H99" s="4">
        <v>3500</v>
      </c>
    </row>
    <row r="100" spans="1:8">
      <c r="A100" s="8"/>
      <c r="G100" t="s">
        <v>118</v>
      </c>
      <c r="H100" s="4">
        <f>+'Worksheet 20_21 Budget '!O100</f>
        <v>0</v>
      </c>
    </row>
    <row r="101" spans="1:8">
      <c r="A101" s="8"/>
      <c r="G101" t="s">
        <v>119</v>
      </c>
      <c r="H101" s="4">
        <v>2000</v>
      </c>
    </row>
    <row r="102" spans="1:8">
      <c r="A102" s="8"/>
      <c r="F102" t="s">
        <v>231</v>
      </c>
      <c r="H102" s="46">
        <f>ROUND(SUM(H96:H101),5)</f>
        <v>15100</v>
      </c>
    </row>
    <row r="103" spans="1:8">
      <c r="A103" s="8"/>
      <c r="F103" t="s">
        <v>59</v>
      </c>
      <c r="H103" s="4">
        <v>38782</v>
      </c>
    </row>
    <row r="104" spans="1:8">
      <c r="A104" s="8"/>
      <c r="F104" t="s">
        <v>67</v>
      </c>
      <c r="H104" s="4" t="s">
        <v>0</v>
      </c>
    </row>
    <row r="105" spans="1:8">
      <c r="A105" s="8"/>
      <c r="G105" t="s">
        <v>57</v>
      </c>
      <c r="H105" s="4">
        <v>500</v>
      </c>
    </row>
    <row r="106" spans="1:8">
      <c r="A106" s="8"/>
      <c r="G106" t="s">
        <v>58</v>
      </c>
      <c r="H106" s="4">
        <v>1560</v>
      </c>
    </row>
    <row r="107" spans="1:8">
      <c r="A107" s="8"/>
      <c r="G107" t="s">
        <v>61</v>
      </c>
      <c r="H107" s="4">
        <v>8500</v>
      </c>
    </row>
    <row r="108" spans="1:8">
      <c r="A108" s="8"/>
      <c r="G108" t="s">
        <v>62</v>
      </c>
      <c r="H108" s="4">
        <v>1150</v>
      </c>
    </row>
    <row r="109" spans="1:8">
      <c r="A109" s="8"/>
      <c r="G109" t="s">
        <v>63</v>
      </c>
      <c r="H109" s="4">
        <v>500</v>
      </c>
    </row>
    <row r="110" spans="1:8">
      <c r="A110" s="8"/>
      <c r="G110" t="s">
        <v>64</v>
      </c>
      <c r="H110" s="4">
        <v>3200</v>
      </c>
    </row>
    <row r="111" spans="1:8">
      <c r="A111" s="8"/>
      <c r="G111" t="s">
        <v>65</v>
      </c>
      <c r="H111" s="4">
        <v>1975</v>
      </c>
    </row>
    <row r="112" spans="1:8">
      <c r="A112" s="8"/>
      <c r="G112" t="s">
        <v>66</v>
      </c>
      <c r="H112" s="4">
        <v>1700</v>
      </c>
    </row>
    <row r="113" spans="1:8">
      <c r="A113" s="8"/>
      <c r="G113" t="s">
        <v>68</v>
      </c>
      <c r="H113" s="4">
        <v>1250</v>
      </c>
    </row>
    <row r="114" spans="1:8">
      <c r="A114" s="8"/>
      <c r="G114" t="s">
        <v>69</v>
      </c>
      <c r="H114" s="4">
        <v>350</v>
      </c>
    </row>
    <row r="115" spans="1:8">
      <c r="A115" s="8"/>
      <c r="G115" t="s">
        <v>70</v>
      </c>
      <c r="H115" s="4">
        <v>1300</v>
      </c>
    </row>
    <row r="116" spans="1:8">
      <c r="A116" s="8"/>
      <c r="F116" t="s">
        <v>232</v>
      </c>
      <c r="H116" s="46">
        <v>21985</v>
      </c>
    </row>
    <row r="117" spans="1:8">
      <c r="A117" s="8"/>
      <c r="F117" t="s">
        <v>71</v>
      </c>
      <c r="H117" s="4">
        <v>19171</v>
      </c>
    </row>
    <row r="118" spans="1:8">
      <c r="A118" s="8"/>
      <c r="F118" t="s">
        <v>72</v>
      </c>
      <c r="H118" s="4">
        <v>600</v>
      </c>
    </row>
    <row r="119" spans="1:8">
      <c r="A119" s="8"/>
      <c r="F119" t="s">
        <v>73</v>
      </c>
      <c r="H119" s="4">
        <v>3900</v>
      </c>
    </row>
    <row r="120" spans="1:8">
      <c r="A120" s="8"/>
      <c r="F120" t="s">
        <v>74</v>
      </c>
      <c r="H120" s="4" t="s">
        <v>0</v>
      </c>
    </row>
    <row r="121" spans="1:8">
      <c r="A121" s="8"/>
      <c r="G121" t="s">
        <v>53</v>
      </c>
      <c r="H121" s="4">
        <v>2600</v>
      </c>
    </row>
    <row r="122" spans="1:8">
      <c r="A122" s="8"/>
      <c r="G122" t="s">
        <v>54</v>
      </c>
      <c r="H122" s="4">
        <v>11500</v>
      </c>
    </row>
    <row r="123" spans="1:8">
      <c r="A123" s="8"/>
      <c r="G123" t="s">
        <v>55</v>
      </c>
      <c r="H123" s="4">
        <v>2600</v>
      </c>
    </row>
    <row r="124" spans="1:8">
      <c r="A124" s="8"/>
      <c r="G124" t="s">
        <v>56</v>
      </c>
      <c r="H124" s="4">
        <v>1800</v>
      </c>
    </row>
    <row r="125" spans="1:8">
      <c r="A125" s="8"/>
      <c r="F125" t="s">
        <v>233</v>
      </c>
      <c r="H125" s="12">
        <f>ROUND(SUM(H120:H124),5)</f>
        <v>18500</v>
      </c>
    </row>
    <row r="126" spans="1:8">
      <c r="A126" s="8"/>
      <c r="F126" t="s">
        <v>75</v>
      </c>
      <c r="H126" s="4"/>
    </row>
    <row r="127" spans="1:8" ht="13.8" thickBot="1">
      <c r="A127" s="8"/>
      <c r="G127" t="s">
        <v>86</v>
      </c>
      <c r="H127" s="4">
        <v>0</v>
      </c>
    </row>
    <row r="128" spans="1:8" ht="13.8" thickBot="1">
      <c r="A128" s="8"/>
      <c r="F128" t="s">
        <v>234</v>
      </c>
      <c r="H128" s="18">
        <f>ROUND(SUM(H126:H127),5)</f>
        <v>0</v>
      </c>
    </row>
    <row r="129" spans="1:8" ht="13.8" thickBot="1">
      <c r="A129" s="8"/>
      <c r="E129" t="s">
        <v>228</v>
      </c>
      <c r="H129" s="14">
        <f>ROUND(H95+SUM(H102:H103)+SUM(H116:H119)+H125+H128,5)</f>
        <v>118038</v>
      </c>
    </row>
    <row r="130" spans="1:8">
      <c r="A130" s="8"/>
      <c r="H130" s="18"/>
    </row>
    <row r="131" spans="1:8">
      <c r="A131" s="8"/>
      <c r="E131" t="s">
        <v>120</v>
      </c>
      <c r="H131" s="4"/>
    </row>
    <row r="132" spans="1:8" ht="13.8" thickBot="1">
      <c r="A132" s="8"/>
      <c r="G132" t="s">
        <v>121</v>
      </c>
      <c r="H132" s="4">
        <v>0</v>
      </c>
    </row>
    <row r="133" spans="1:8" ht="13.8" thickBot="1">
      <c r="A133" s="8"/>
      <c r="E133" t="s">
        <v>235</v>
      </c>
      <c r="H133" s="18">
        <f>H132</f>
        <v>0</v>
      </c>
    </row>
    <row r="134" spans="1:8" ht="13.8" thickBot="1">
      <c r="A134" s="8"/>
      <c r="H134" s="18"/>
    </row>
    <row r="135" spans="1:8" ht="13.8" thickBot="1">
      <c r="A135" s="8"/>
      <c r="D135" t="s">
        <v>247</v>
      </c>
      <c r="H135" s="14">
        <f>ROUND(H32+H84+H94+H132+H129,5)</f>
        <v>873743</v>
      </c>
    </row>
    <row r="136" spans="1:8">
      <c r="A136" s="8"/>
      <c r="B136" t="s">
        <v>240</v>
      </c>
      <c r="H136" s="18">
        <f>ROUND(+H31-H135,5)</f>
        <v>1486</v>
      </c>
    </row>
    <row r="137" spans="1:8">
      <c r="A137" s="8"/>
      <c r="H137" s="12"/>
    </row>
    <row r="138" spans="1:8">
      <c r="A138" s="8"/>
      <c r="D138" t="s">
        <v>40</v>
      </c>
      <c r="H138" s="12">
        <v>-1486</v>
      </c>
    </row>
    <row r="139" spans="1:8">
      <c r="A139" s="8"/>
      <c r="D139" t="s">
        <v>41</v>
      </c>
      <c r="H139" s="12"/>
    </row>
    <row r="140" spans="1:8">
      <c r="A140" s="8" t="s">
        <v>239</v>
      </c>
      <c r="H140" s="19">
        <f>+H136+H138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0"/>
  <sheetViews>
    <sheetView workbookViewId="0">
      <selection sqref="A1:H900"/>
    </sheetView>
  </sheetViews>
  <sheetFormatPr defaultRowHeight="13.2"/>
  <cols>
    <col min="1" max="1" width="0.6640625" customWidth="1"/>
    <col min="2" max="2" width="1" customWidth="1"/>
    <col min="3" max="3" width="2.88671875" customWidth="1"/>
    <col min="4" max="4" width="3" customWidth="1"/>
    <col min="6" max="6" width="9.5546875" customWidth="1"/>
    <col min="7" max="7" width="37.5546875" customWidth="1"/>
    <col min="9" max="9" width="16.5546875" customWidth="1"/>
    <col min="10" max="10" width="21.109375" customWidth="1"/>
    <col min="11" max="11" width="14.6640625" customWidth="1"/>
    <col min="12" max="12" width="18.44140625" customWidth="1"/>
    <col min="13" max="13" width="13.44140625" bestFit="1" customWidth="1"/>
    <col min="14" max="14" width="10.33203125" customWidth="1"/>
  </cols>
  <sheetData>
    <row r="2" spans="1:15" ht="17.399999999999999">
      <c r="F2" s="5" t="s">
        <v>11</v>
      </c>
    </row>
    <row r="3" spans="1:15" ht="17.399999999999999">
      <c r="F3" s="6"/>
      <c r="G3" s="5" t="s">
        <v>3</v>
      </c>
      <c r="H3" s="7"/>
    </row>
    <row r="4" spans="1:15">
      <c r="G4" t="s">
        <v>2</v>
      </c>
    </row>
    <row r="5" spans="1:15">
      <c r="A5" s="8"/>
      <c r="H5" s="1"/>
    </row>
    <row r="6" spans="1:15">
      <c r="A6" s="8"/>
      <c r="B6" t="s">
        <v>241</v>
      </c>
      <c r="I6" s="6" t="s">
        <v>9</v>
      </c>
      <c r="J6" s="6" t="s">
        <v>154</v>
      </c>
      <c r="K6" s="6" t="s">
        <v>9</v>
      </c>
      <c r="L6" s="6" t="s">
        <v>154</v>
      </c>
      <c r="M6" s="6" t="s">
        <v>9</v>
      </c>
      <c r="N6" s="6" t="s">
        <v>154</v>
      </c>
    </row>
    <row r="7" spans="1:15">
      <c r="A7" s="8"/>
      <c r="D7" t="s">
        <v>238</v>
      </c>
      <c r="M7" t="s">
        <v>185</v>
      </c>
    </row>
    <row r="8" spans="1:15">
      <c r="A8" s="8"/>
      <c r="E8" t="s">
        <v>24</v>
      </c>
      <c r="I8" s="9" t="s">
        <v>265</v>
      </c>
      <c r="K8" s="9" t="s">
        <v>266</v>
      </c>
      <c r="M8" s="9" t="s">
        <v>267</v>
      </c>
    </row>
    <row r="9" spans="1:15">
      <c r="A9" s="8"/>
      <c r="F9" t="s">
        <v>10</v>
      </c>
      <c r="H9" s="4">
        <v>467536</v>
      </c>
      <c r="I9" s="10">
        <v>24819</v>
      </c>
      <c r="J9" t="s">
        <v>17</v>
      </c>
      <c r="K9" s="10"/>
      <c r="M9" s="10"/>
      <c r="O9" s="4">
        <f>M9+K9+I9+H9</f>
        <v>492355</v>
      </c>
    </row>
    <row r="10" spans="1:15">
      <c r="A10" s="8"/>
      <c r="F10" t="s">
        <v>25</v>
      </c>
      <c r="H10" s="11">
        <v>326240</v>
      </c>
      <c r="I10" s="10">
        <v>22388</v>
      </c>
      <c r="J10" t="s">
        <v>17</v>
      </c>
      <c r="K10" s="10"/>
      <c r="M10" s="10"/>
      <c r="O10" s="4">
        <f>M10+K10+I10+H10</f>
        <v>348628</v>
      </c>
    </row>
    <row r="11" spans="1:15">
      <c r="A11" s="8"/>
      <c r="E11" t="s">
        <v>223</v>
      </c>
      <c r="H11" s="12">
        <f>ROUND(SUM(H8:H10),5)</f>
        <v>793776</v>
      </c>
      <c r="I11" s="10"/>
      <c r="K11" s="10" t="s">
        <v>0</v>
      </c>
      <c r="M11" s="10"/>
      <c r="O11" s="13">
        <f>ROUND(SUM(O8:O10),5)</f>
        <v>840983</v>
      </c>
    </row>
    <row r="12" spans="1:15">
      <c r="A12" s="8"/>
      <c r="E12" t="s">
        <v>26</v>
      </c>
      <c r="H12" s="4"/>
      <c r="I12" s="10"/>
      <c r="K12" s="10"/>
      <c r="M12" s="10"/>
      <c r="O12" s="4"/>
    </row>
    <row r="13" spans="1:15">
      <c r="A13" s="8"/>
      <c r="F13" t="s">
        <v>27</v>
      </c>
      <c r="H13" s="4">
        <v>2012</v>
      </c>
      <c r="I13" s="10"/>
      <c r="K13" s="10"/>
      <c r="M13" s="10"/>
      <c r="O13" s="4">
        <f>M13+K13+I13+H13</f>
        <v>2012</v>
      </c>
    </row>
    <row r="14" spans="1:15">
      <c r="A14" s="8"/>
      <c r="F14" t="s">
        <v>28</v>
      </c>
      <c r="H14" s="4">
        <v>0</v>
      </c>
      <c r="I14" s="10"/>
      <c r="K14" s="10"/>
      <c r="M14" s="10"/>
      <c r="O14" s="4">
        <f>M14+K14+I14+H14</f>
        <v>0</v>
      </c>
    </row>
    <row r="15" spans="1:15">
      <c r="A15" s="8"/>
      <c r="F15" t="s">
        <v>29</v>
      </c>
      <c r="H15" s="4">
        <v>3334</v>
      </c>
      <c r="I15" s="10"/>
      <c r="K15" s="10"/>
      <c r="M15" s="10"/>
      <c r="O15" s="4">
        <f>M15+K15+I15+H15</f>
        <v>3334</v>
      </c>
    </row>
    <row r="16" spans="1:15">
      <c r="A16" s="8"/>
      <c r="F16" t="s">
        <v>30</v>
      </c>
      <c r="H16" s="11">
        <v>0</v>
      </c>
      <c r="I16" s="10"/>
      <c r="K16" s="10"/>
      <c r="M16" s="10"/>
      <c r="O16" s="4">
        <f>M16+K16+I16+H16</f>
        <v>0</v>
      </c>
    </row>
    <row r="17" spans="1:15">
      <c r="A17" s="8"/>
      <c r="E17" t="s">
        <v>224</v>
      </c>
      <c r="H17" s="12">
        <f>ROUND(SUM(H12:H16),5)</f>
        <v>5346</v>
      </c>
      <c r="I17" s="10"/>
      <c r="K17" s="10"/>
      <c r="M17" s="10"/>
      <c r="O17" s="13">
        <f>ROUND(SUM(O12:O16),5)</f>
        <v>5346</v>
      </c>
    </row>
    <row r="18" spans="1:15">
      <c r="A18" s="8"/>
      <c r="E18" t="s">
        <v>31</v>
      </c>
      <c r="H18" s="4"/>
      <c r="I18" s="10"/>
      <c r="K18" s="10"/>
      <c r="M18" s="10"/>
      <c r="O18" s="4"/>
    </row>
    <row r="19" spans="1:15">
      <c r="A19" s="8"/>
      <c r="F19" t="s">
        <v>32</v>
      </c>
      <c r="H19" s="4">
        <v>5000</v>
      </c>
      <c r="I19" s="10"/>
      <c r="K19" s="10"/>
      <c r="M19" s="10"/>
      <c r="O19" s="4">
        <f>M19+K19+I19+H19</f>
        <v>5000</v>
      </c>
    </row>
    <row r="20" spans="1:15">
      <c r="A20" s="8"/>
      <c r="F20" t="s">
        <v>33</v>
      </c>
      <c r="H20" s="4">
        <v>5000</v>
      </c>
      <c r="I20" s="10"/>
      <c r="K20" s="10"/>
      <c r="M20" s="10"/>
      <c r="O20" s="4">
        <f>M20+K20+I20+H20</f>
        <v>5000</v>
      </c>
    </row>
    <row r="21" spans="1:15">
      <c r="A21" s="8"/>
      <c r="F21" t="s">
        <v>34</v>
      </c>
      <c r="H21" s="4">
        <v>3500</v>
      </c>
      <c r="I21" s="10"/>
      <c r="K21" s="10"/>
      <c r="M21" s="10"/>
      <c r="O21" s="4">
        <f>M21+K21+I21+H21</f>
        <v>3500</v>
      </c>
    </row>
    <row r="22" spans="1:15">
      <c r="A22" s="8"/>
      <c r="F22" t="s">
        <v>35</v>
      </c>
      <c r="H22" s="11">
        <v>2400</v>
      </c>
      <c r="I22" s="10"/>
      <c r="K22" s="10"/>
      <c r="M22" s="10"/>
      <c r="O22" s="4">
        <f>M22+K22+I22+H22</f>
        <v>2400</v>
      </c>
    </row>
    <row r="23" spans="1:15">
      <c r="A23" s="8"/>
      <c r="E23" t="s">
        <v>225</v>
      </c>
      <c r="H23" s="12">
        <f>ROUND(SUM(H18:H22),5)</f>
        <v>15900</v>
      </c>
      <c r="I23" s="10"/>
      <c r="K23" s="10"/>
      <c r="M23" s="10"/>
      <c r="O23" s="13">
        <f>ROUND(SUM(O18:O22),5)</f>
        <v>15900</v>
      </c>
    </row>
    <row r="24" spans="1:15">
      <c r="A24" s="8"/>
      <c r="E24" t="s">
        <v>36</v>
      </c>
      <c r="H24" s="4"/>
      <c r="I24" s="10"/>
      <c r="K24" s="10"/>
      <c r="M24" s="10"/>
      <c r="O24" s="4"/>
    </row>
    <row r="25" spans="1:15">
      <c r="A25" s="8"/>
      <c r="F25" t="s">
        <v>37</v>
      </c>
      <c r="H25" s="11">
        <v>3000</v>
      </c>
      <c r="I25" s="10"/>
      <c r="K25" s="10"/>
      <c r="M25" s="10"/>
      <c r="O25" s="4">
        <f>M25+K25+I25+H25</f>
        <v>3000</v>
      </c>
    </row>
    <row r="26" spans="1:15">
      <c r="A26" s="8"/>
      <c r="E26" t="s">
        <v>226</v>
      </c>
      <c r="H26" s="12">
        <f>ROUND(SUM(H24:H25),5)</f>
        <v>3000</v>
      </c>
      <c r="I26" s="10"/>
      <c r="K26" s="10"/>
      <c r="M26" s="10"/>
      <c r="O26" s="4">
        <f>ROUND(SUM(O24:O25),5)</f>
        <v>3000</v>
      </c>
    </row>
    <row r="27" spans="1:15">
      <c r="A27" s="8"/>
      <c r="E27" t="s">
        <v>38</v>
      </c>
      <c r="H27" s="4"/>
      <c r="I27" s="10"/>
      <c r="K27" s="10"/>
      <c r="M27" s="10"/>
      <c r="O27" s="4"/>
    </row>
    <row r="28" spans="1:15">
      <c r="A28" s="8"/>
      <c r="F28" t="s">
        <v>39</v>
      </c>
      <c r="H28" s="4">
        <v>10000</v>
      </c>
      <c r="I28" s="10"/>
      <c r="K28" s="10"/>
      <c r="M28" s="10"/>
      <c r="O28" s="4">
        <f>M28+K28+I28+H28</f>
        <v>10000</v>
      </c>
    </row>
    <row r="29" spans="1:15">
      <c r="A29" s="8"/>
      <c r="E29" t="s">
        <v>227</v>
      </c>
      <c r="H29" s="14">
        <f>ROUND(SUM(H27:H28),5)</f>
        <v>10000</v>
      </c>
      <c r="I29" s="10"/>
      <c r="K29" s="10"/>
      <c r="M29" s="10"/>
      <c r="O29" s="14">
        <f>ROUND(SUM(O27:O28),5)</f>
        <v>10000</v>
      </c>
    </row>
    <row r="30" spans="1:15">
      <c r="A30" s="8"/>
      <c r="D30" t="s">
        <v>249</v>
      </c>
      <c r="H30" s="15">
        <f>ROUND(H11+H17+H23+H26+H29,5)</f>
        <v>828022</v>
      </c>
      <c r="I30" s="10"/>
      <c r="K30" s="10"/>
      <c r="M30" s="10"/>
      <c r="O30" s="15">
        <f>ROUND(O11+O17+O23+O26+O29,5)</f>
        <v>875229</v>
      </c>
    </row>
    <row r="31" spans="1:15">
      <c r="A31" s="8"/>
      <c r="C31" t="s">
        <v>237</v>
      </c>
      <c r="H31" s="12">
        <f>H30</f>
        <v>828022</v>
      </c>
      <c r="I31" s="10"/>
      <c r="K31" s="10"/>
      <c r="M31" s="10"/>
      <c r="O31" s="12">
        <f>O30</f>
        <v>875229</v>
      </c>
    </row>
    <row r="32" spans="1:15">
      <c r="A32" s="8"/>
      <c r="D32" t="s">
        <v>236</v>
      </c>
      <c r="H32" s="4"/>
      <c r="I32" s="10"/>
      <c r="K32" s="10"/>
      <c r="M32" s="10"/>
      <c r="O32" s="4"/>
    </row>
    <row r="33" spans="1:15">
      <c r="A33" s="8"/>
      <c r="E33" t="s">
        <v>49</v>
      </c>
      <c r="H33" s="4"/>
      <c r="I33" s="10"/>
      <c r="K33" s="10"/>
      <c r="M33" s="10"/>
      <c r="O33" s="4"/>
    </row>
    <row r="34" spans="1:15">
      <c r="A34" s="8"/>
      <c r="F34" t="s">
        <v>196</v>
      </c>
      <c r="H34" s="4"/>
      <c r="I34" s="10"/>
      <c r="K34" s="10"/>
      <c r="M34" s="10"/>
      <c r="O34" s="4"/>
    </row>
    <row r="35" spans="1:15">
      <c r="A35" s="8"/>
      <c r="G35" t="s">
        <v>102</v>
      </c>
      <c r="H35" s="4">
        <v>1000</v>
      </c>
      <c r="I35" s="10"/>
      <c r="K35" s="10"/>
      <c r="M35" s="10"/>
      <c r="O35" s="4">
        <f>M35+K35+I35+H35</f>
        <v>1000</v>
      </c>
    </row>
    <row r="36" spans="1:15">
      <c r="A36" s="8"/>
      <c r="G36" t="s">
        <v>105</v>
      </c>
      <c r="H36" s="4">
        <v>8000</v>
      </c>
      <c r="I36" s="10"/>
      <c r="K36" s="10"/>
      <c r="M36" s="10"/>
      <c r="O36" s="4">
        <f>M36+K36+I36+H36</f>
        <v>8000</v>
      </c>
    </row>
    <row r="37" spans="1:15">
      <c r="A37" s="8"/>
      <c r="G37" t="s">
        <v>106</v>
      </c>
      <c r="H37" s="4">
        <v>0</v>
      </c>
      <c r="I37" s="10"/>
      <c r="K37" s="10"/>
      <c r="M37" s="10"/>
      <c r="O37" s="4">
        <f>M37+K37+I37+H37</f>
        <v>0</v>
      </c>
    </row>
    <row r="38" spans="1:15">
      <c r="A38" s="8"/>
      <c r="G38" t="s">
        <v>108</v>
      </c>
      <c r="H38" s="11">
        <v>0</v>
      </c>
      <c r="I38" s="10"/>
      <c r="K38" s="10"/>
      <c r="M38" s="10"/>
      <c r="O38" s="4">
        <f>M38+K38+I38+H38</f>
        <v>0</v>
      </c>
    </row>
    <row r="39" spans="1:15">
      <c r="A39" s="8"/>
      <c r="F39" t="s">
        <v>250</v>
      </c>
      <c r="H39" s="12">
        <f>ROUND(SUM(H34:H38),5)</f>
        <v>9000</v>
      </c>
      <c r="I39" s="10"/>
      <c r="K39" s="10"/>
      <c r="M39" s="10"/>
      <c r="O39" s="16">
        <f>ROUND(SUM(O34:O38),5)</f>
        <v>9000</v>
      </c>
    </row>
    <row r="40" spans="1:15">
      <c r="A40" s="8"/>
      <c r="F40" t="s">
        <v>253</v>
      </c>
      <c r="H40" s="4"/>
      <c r="I40" s="10"/>
      <c r="K40" s="10"/>
      <c r="M40" s="10"/>
      <c r="O40" s="4"/>
    </row>
    <row r="41" spans="1:15">
      <c r="A41" s="8"/>
      <c r="G41" t="s">
        <v>99</v>
      </c>
      <c r="H41" s="4">
        <v>5200</v>
      </c>
      <c r="I41" s="10"/>
      <c r="K41" s="10">
        <v>-3500</v>
      </c>
      <c r="L41" t="s">
        <v>208</v>
      </c>
      <c r="M41" s="10"/>
      <c r="O41" s="4">
        <f>M41+K41+I41+H41</f>
        <v>1700</v>
      </c>
    </row>
    <row r="42" spans="1:15">
      <c r="A42" s="8"/>
      <c r="G42" t="s">
        <v>100</v>
      </c>
      <c r="H42" s="4">
        <v>7000</v>
      </c>
      <c r="I42" s="10"/>
      <c r="K42" s="10">
        <v>-3000</v>
      </c>
      <c r="L42" t="s">
        <v>208</v>
      </c>
      <c r="M42" s="10"/>
      <c r="O42" s="4">
        <f>M42+K42+I42+H42</f>
        <v>4000</v>
      </c>
    </row>
    <row r="43" spans="1:15">
      <c r="A43" s="8"/>
      <c r="G43" t="s">
        <v>101</v>
      </c>
      <c r="H43" s="4">
        <v>2500</v>
      </c>
      <c r="I43" s="10"/>
      <c r="K43" s="10"/>
      <c r="M43" s="10"/>
      <c r="O43" s="4">
        <f>M43+K43+I43+H43</f>
        <v>2500</v>
      </c>
    </row>
    <row r="44" spans="1:15">
      <c r="A44" s="8"/>
      <c r="G44" t="s">
        <v>103</v>
      </c>
      <c r="H44" s="11">
        <v>8000</v>
      </c>
      <c r="I44" s="10"/>
      <c r="K44" s="10"/>
      <c r="M44" s="10"/>
      <c r="O44" s="4">
        <f>M44+K44+I44+H44</f>
        <v>8000</v>
      </c>
    </row>
    <row r="45" spans="1:15">
      <c r="A45" s="8"/>
      <c r="F45" t="s">
        <v>251</v>
      </c>
      <c r="H45" s="12">
        <f>ROUND(SUM(H40:H44),5)</f>
        <v>22700</v>
      </c>
      <c r="I45" s="10"/>
      <c r="K45" s="10"/>
      <c r="M45" s="10"/>
      <c r="O45" s="13">
        <f>ROUND(SUM(O40:O44),5)</f>
        <v>16200</v>
      </c>
    </row>
    <row r="46" spans="1:15">
      <c r="A46" s="8"/>
      <c r="F46" t="s">
        <v>123</v>
      </c>
      <c r="H46" s="4"/>
      <c r="I46" s="10"/>
      <c r="K46" s="10"/>
      <c r="M46" s="10"/>
      <c r="O46" s="4"/>
    </row>
    <row r="47" spans="1:15">
      <c r="A47" s="8"/>
      <c r="G47" t="s">
        <v>87</v>
      </c>
      <c r="H47" s="4">
        <v>11110</v>
      </c>
      <c r="I47" s="10"/>
      <c r="K47" s="10"/>
      <c r="M47" s="10"/>
      <c r="O47" s="4">
        <f t="shared" ref="O47:O57" si="0">M47+K47+I47+H47</f>
        <v>11110</v>
      </c>
    </row>
    <row r="48" spans="1:15">
      <c r="A48" s="8"/>
      <c r="G48" t="s">
        <v>88</v>
      </c>
      <c r="H48" s="4">
        <v>6511</v>
      </c>
      <c r="I48" s="10"/>
      <c r="K48" s="10"/>
      <c r="M48" s="10"/>
      <c r="O48" s="4">
        <f t="shared" si="0"/>
        <v>6511</v>
      </c>
    </row>
    <row r="49" spans="1:15">
      <c r="A49" s="8"/>
      <c r="G49" t="s">
        <v>93</v>
      </c>
      <c r="H49" s="4">
        <v>2400</v>
      </c>
      <c r="I49" s="10"/>
      <c r="K49" s="10"/>
      <c r="M49" s="10"/>
      <c r="O49" s="4">
        <f t="shared" si="0"/>
        <v>2400</v>
      </c>
    </row>
    <row r="50" spans="1:15">
      <c r="A50" s="8"/>
      <c r="G50" t="s">
        <v>98</v>
      </c>
      <c r="H50" s="4">
        <v>0</v>
      </c>
      <c r="I50" s="10"/>
      <c r="K50" s="10"/>
      <c r="M50" s="10"/>
      <c r="O50" s="4">
        <f t="shared" si="0"/>
        <v>0</v>
      </c>
    </row>
    <row r="51" spans="1:15">
      <c r="A51" s="8"/>
      <c r="G51" t="s">
        <v>104</v>
      </c>
      <c r="H51" s="4">
        <v>3000</v>
      </c>
      <c r="I51" s="10"/>
      <c r="K51" s="10"/>
      <c r="M51" s="10"/>
      <c r="O51" s="4">
        <f t="shared" si="0"/>
        <v>3000</v>
      </c>
    </row>
    <row r="52" spans="1:15">
      <c r="A52" s="8"/>
      <c r="G52" t="s">
        <v>107</v>
      </c>
      <c r="H52" s="4">
        <v>5000</v>
      </c>
      <c r="I52" s="10"/>
      <c r="K52" s="10"/>
      <c r="M52" s="10"/>
      <c r="O52" s="4">
        <f t="shared" si="0"/>
        <v>5000</v>
      </c>
    </row>
    <row r="53" spans="1:15">
      <c r="A53" s="8"/>
      <c r="G53" t="s">
        <v>109</v>
      </c>
      <c r="H53" s="4">
        <v>2900</v>
      </c>
      <c r="I53" s="10"/>
      <c r="K53" s="10"/>
      <c r="M53" s="10"/>
      <c r="O53" s="4">
        <f t="shared" si="0"/>
        <v>2900</v>
      </c>
    </row>
    <row r="54" spans="1:15">
      <c r="A54" s="8"/>
      <c r="G54" t="s">
        <v>111</v>
      </c>
      <c r="H54" s="4">
        <v>1500</v>
      </c>
      <c r="I54" s="10"/>
      <c r="K54" s="10"/>
      <c r="M54" s="10"/>
      <c r="O54" s="4">
        <f t="shared" si="0"/>
        <v>1500</v>
      </c>
    </row>
    <row r="55" spans="1:15">
      <c r="A55" s="8"/>
      <c r="G55" t="s">
        <v>112</v>
      </c>
      <c r="H55" s="4">
        <v>1050</v>
      </c>
      <c r="I55" s="10"/>
      <c r="K55" s="10"/>
      <c r="M55" s="10"/>
      <c r="O55" s="4">
        <f t="shared" si="0"/>
        <v>1050</v>
      </c>
    </row>
    <row r="56" spans="1:15">
      <c r="A56" s="8"/>
      <c r="G56" t="s">
        <v>113</v>
      </c>
      <c r="H56" s="4">
        <v>2000</v>
      </c>
      <c r="I56" s="10">
        <v>100</v>
      </c>
      <c r="J56" t="s">
        <v>173</v>
      </c>
      <c r="K56" s="10"/>
      <c r="M56" s="10"/>
      <c r="O56" s="4">
        <f t="shared" si="0"/>
        <v>2100</v>
      </c>
    </row>
    <row r="57" spans="1:15">
      <c r="A57" s="8"/>
      <c r="G57" t="s">
        <v>114</v>
      </c>
      <c r="H57" s="11">
        <v>400</v>
      </c>
      <c r="I57" s="10"/>
      <c r="K57" s="10"/>
      <c r="M57" s="10"/>
      <c r="O57" s="4">
        <f t="shared" si="0"/>
        <v>400</v>
      </c>
    </row>
    <row r="58" spans="1:15">
      <c r="A58" s="8"/>
      <c r="F58" t="s">
        <v>244</v>
      </c>
      <c r="H58" s="12">
        <f>ROUND(SUM(H46:H57),5)</f>
        <v>35871</v>
      </c>
      <c r="I58" s="10"/>
      <c r="K58" s="10"/>
      <c r="M58" s="10"/>
      <c r="O58" s="13">
        <f>ROUND(SUM(O46:O57),5)</f>
        <v>35971</v>
      </c>
    </row>
    <row r="59" spans="1:15">
      <c r="A59" s="8"/>
      <c r="F59" t="s">
        <v>127</v>
      </c>
      <c r="H59" s="4"/>
      <c r="I59" s="10"/>
      <c r="K59" s="10"/>
      <c r="M59" s="10"/>
      <c r="O59" s="4"/>
    </row>
    <row r="60" spans="1:15">
      <c r="A60" s="8"/>
      <c r="G60" t="s">
        <v>91</v>
      </c>
      <c r="H60" s="4">
        <v>9750</v>
      </c>
      <c r="I60" s="10"/>
      <c r="K60" s="10"/>
      <c r="M60" s="10"/>
      <c r="O60" s="4">
        <f t="shared" ref="O60:O66" si="1">M60+K60+I60+H60</f>
        <v>9750</v>
      </c>
    </row>
    <row r="61" spans="1:15">
      <c r="A61" s="8"/>
      <c r="G61" t="s">
        <v>92</v>
      </c>
      <c r="H61" s="4">
        <v>13000</v>
      </c>
      <c r="I61" s="10"/>
      <c r="K61" s="10"/>
      <c r="M61" s="10"/>
      <c r="O61" s="4">
        <f t="shared" si="1"/>
        <v>13000</v>
      </c>
    </row>
    <row r="62" spans="1:15">
      <c r="A62" s="8"/>
      <c r="G62" t="s">
        <v>94</v>
      </c>
      <c r="H62" s="4">
        <v>2000</v>
      </c>
      <c r="I62" s="10"/>
      <c r="K62" s="10"/>
      <c r="M62" s="10"/>
      <c r="O62" s="4">
        <f t="shared" si="1"/>
        <v>2000</v>
      </c>
    </row>
    <row r="63" spans="1:15">
      <c r="A63" s="8"/>
      <c r="G63" t="s">
        <v>95</v>
      </c>
      <c r="H63" s="4">
        <v>10000</v>
      </c>
      <c r="I63" s="10"/>
      <c r="K63" s="10"/>
      <c r="M63" s="10"/>
      <c r="O63" s="4">
        <f t="shared" si="1"/>
        <v>10000</v>
      </c>
    </row>
    <row r="64" spans="1:15">
      <c r="A64" s="8"/>
      <c r="G64" t="s">
        <v>96</v>
      </c>
      <c r="H64" s="4">
        <v>3500</v>
      </c>
      <c r="I64" s="10"/>
      <c r="K64" s="10"/>
      <c r="M64" s="10"/>
      <c r="O64" s="4">
        <f t="shared" si="1"/>
        <v>3500</v>
      </c>
    </row>
    <row r="65" spans="1:15">
      <c r="A65" s="8"/>
      <c r="G65" t="s">
        <v>97</v>
      </c>
      <c r="H65" s="4">
        <v>1250</v>
      </c>
      <c r="I65" s="10"/>
      <c r="K65" s="10"/>
      <c r="M65" s="10"/>
      <c r="O65" s="4">
        <f t="shared" si="1"/>
        <v>1250</v>
      </c>
    </row>
    <row r="66" spans="1:15">
      <c r="A66" s="8"/>
      <c r="G66" t="s">
        <v>110</v>
      </c>
      <c r="H66" s="11">
        <v>2000</v>
      </c>
      <c r="I66" s="10"/>
      <c r="K66" s="10"/>
      <c r="M66" s="10"/>
      <c r="O66" s="4">
        <f t="shared" si="1"/>
        <v>2000</v>
      </c>
    </row>
    <row r="67" spans="1:15">
      <c r="A67" s="8"/>
      <c r="F67" t="s">
        <v>245</v>
      </c>
      <c r="H67" s="12">
        <f>ROUND(SUM(H59:H66),5)</f>
        <v>41500</v>
      </c>
      <c r="I67" s="10"/>
      <c r="K67" s="10"/>
      <c r="M67" s="10"/>
      <c r="O67" s="13">
        <f>ROUND(SUM(O59:O66),5)</f>
        <v>41500</v>
      </c>
    </row>
    <row r="68" spans="1:15">
      <c r="A68" s="8"/>
      <c r="F68" t="s">
        <v>147</v>
      </c>
      <c r="H68" s="4"/>
      <c r="I68" s="10"/>
      <c r="K68" s="10"/>
      <c r="M68" s="10"/>
      <c r="O68" s="4"/>
    </row>
    <row r="69" spans="1:15">
      <c r="A69" s="8"/>
      <c r="G69" t="s">
        <v>77</v>
      </c>
      <c r="H69" s="4">
        <v>129052</v>
      </c>
      <c r="I69" s="10">
        <f>138692-129052</f>
        <v>9640</v>
      </c>
      <c r="J69" t="s">
        <v>189</v>
      </c>
      <c r="K69" s="10"/>
      <c r="M69" s="10"/>
      <c r="O69" s="4">
        <f t="shared" ref="O69:O82" si="2">M69+K69+I69+H69</f>
        <v>138692</v>
      </c>
    </row>
    <row r="70" spans="1:15">
      <c r="A70" s="8"/>
      <c r="G70" t="s">
        <v>78</v>
      </c>
      <c r="H70" s="4">
        <v>90418</v>
      </c>
      <c r="I70" s="10">
        <f>97656-90418</f>
        <v>7238</v>
      </c>
      <c r="J70" t="s">
        <v>189</v>
      </c>
      <c r="K70" s="10"/>
      <c r="M70" s="10"/>
      <c r="O70" s="4">
        <f t="shared" si="2"/>
        <v>97656</v>
      </c>
    </row>
    <row r="71" spans="1:15">
      <c r="A71" s="8"/>
      <c r="G71" t="s">
        <v>79</v>
      </c>
      <c r="H71" s="4">
        <v>9000</v>
      </c>
      <c r="I71" s="10"/>
      <c r="K71" s="10"/>
      <c r="M71" s="10"/>
      <c r="O71" s="4">
        <f t="shared" si="2"/>
        <v>9000</v>
      </c>
    </row>
    <row r="72" spans="1:15">
      <c r="A72" s="8"/>
      <c r="G72" t="s">
        <v>80</v>
      </c>
      <c r="H72" s="4">
        <v>49920</v>
      </c>
      <c r="I72" s="10">
        <v>3994</v>
      </c>
      <c r="J72" t="s">
        <v>189</v>
      </c>
      <c r="K72" s="10"/>
      <c r="M72" s="10"/>
      <c r="O72" s="4">
        <f t="shared" si="2"/>
        <v>53914</v>
      </c>
    </row>
    <row r="73" spans="1:15">
      <c r="A73" s="8"/>
      <c r="G73" t="s">
        <v>7</v>
      </c>
      <c r="H73" s="4">
        <v>46850</v>
      </c>
      <c r="I73" s="10">
        <f>-1890-10</f>
        <v>-1900</v>
      </c>
      <c r="J73" t="s">
        <v>6</v>
      </c>
      <c r="K73" s="10"/>
      <c r="M73" s="10"/>
      <c r="O73" s="4">
        <f t="shared" si="2"/>
        <v>44950</v>
      </c>
    </row>
    <row r="74" spans="1:15">
      <c r="A74" s="8"/>
      <c r="G74" t="s">
        <v>82</v>
      </c>
      <c r="H74" s="4">
        <v>0</v>
      </c>
      <c r="I74" s="10"/>
      <c r="K74" s="10"/>
      <c r="M74" s="10"/>
      <c r="O74" s="4">
        <f t="shared" si="2"/>
        <v>0</v>
      </c>
    </row>
    <row r="75" spans="1:15">
      <c r="A75" s="8"/>
      <c r="G75" t="s">
        <v>81</v>
      </c>
      <c r="H75" s="4">
        <v>54847</v>
      </c>
      <c r="I75" s="10">
        <v>1645</v>
      </c>
      <c r="J75" t="s">
        <v>23</v>
      </c>
      <c r="K75" s="10"/>
      <c r="M75" s="10"/>
      <c r="O75" s="4">
        <f t="shared" si="2"/>
        <v>56492</v>
      </c>
    </row>
    <row r="76" spans="1:15">
      <c r="A76" s="8"/>
      <c r="G76" t="s">
        <v>76</v>
      </c>
      <c r="H76" s="4">
        <v>0</v>
      </c>
      <c r="I76" s="10"/>
      <c r="K76" s="10"/>
      <c r="M76" s="10"/>
      <c r="O76" s="4">
        <f t="shared" si="2"/>
        <v>0</v>
      </c>
    </row>
    <row r="77" spans="1:15">
      <c r="A77" s="8"/>
      <c r="G77" t="s">
        <v>83</v>
      </c>
      <c r="H77" s="4">
        <v>32567</v>
      </c>
      <c r="I77" s="10">
        <v>3103</v>
      </c>
      <c r="J77" t="s">
        <v>207</v>
      </c>
      <c r="K77" s="10">
        <v>175</v>
      </c>
      <c r="L77" t="s">
        <v>175</v>
      </c>
      <c r="M77" s="10"/>
      <c r="O77" s="4">
        <f t="shared" si="2"/>
        <v>35845</v>
      </c>
    </row>
    <row r="78" spans="1:15">
      <c r="A78" s="8"/>
      <c r="G78" t="s">
        <v>84</v>
      </c>
      <c r="H78" s="4">
        <v>14260</v>
      </c>
      <c r="I78" s="10">
        <v>2852</v>
      </c>
      <c r="J78" t="s">
        <v>207</v>
      </c>
      <c r="K78" s="10">
        <f>21030.36-17112+115</f>
        <v>4033.3600000000006</v>
      </c>
      <c r="L78" t="s">
        <v>174</v>
      </c>
      <c r="M78" s="10"/>
      <c r="O78" s="4">
        <f t="shared" si="2"/>
        <v>21145.360000000001</v>
      </c>
    </row>
    <row r="79" spans="1:15">
      <c r="A79" s="8"/>
      <c r="G79" t="s">
        <v>85</v>
      </c>
      <c r="H79" s="4">
        <v>24000</v>
      </c>
      <c r="I79" s="10"/>
      <c r="J79" s="6" t="s">
        <v>5</v>
      </c>
      <c r="K79" s="10"/>
      <c r="M79" s="10"/>
      <c r="O79" s="4">
        <f t="shared" si="2"/>
        <v>24000</v>
      </c>
    </row>
    <row r="80" spans="1:15">
      <c r="A80" s="8"/>
      <c r="G80" t="s">
        <v>89</v>
      </c>
      <c r="H80" s="4">
        <v>36500</v>
      </c>
      <c r="I80" s="10">
        <v>9000</v>
      </c>
      <c r="K80" s="10"/>
      <c r="M80" s="10"/>
      <c r="O80" s="4">
        <f t="shared" si="2"/>
        <v>45500</v>
      </c>
    </row>
    <row r="81" spans="1:15">
      <c r="A81" s="8"/>
      <c r="G81" t="s">
        <v>90</v>
      </c>
      <c r="H81" s="4">
        <v>10000</v>
      </c>
      <c r="I81" s="10"/>
      <c r="K81" s="10"/>
      <c r="M81" s="10"/>
      <c r="O81" s="4">
        <f t="shared" si="2"/>
        <v>10000</v>
      </c>
    </row>
    <row r="82" spans="1:15">
      <c r="A82" s="8"/>
      <c r="G82" t="s">
        <v>14</v>
      </c>
      <c r="H82" s="4">
        <v>12672</v>
      </c>
      <c r="I82" s="10">
        <f>11108+8178-12672</f>
        <v>6614</v>
      </c>
      <c r="J82" t="s">
        <v>206</v>
      </c>
      <c r="K82" s="10"/>
      <c r="M82" s="10"/>
      <c r="O82" s="4">
        <f t="shared" si="2"/>
        <v>19286</v>
      </c>
    </row>
    <row r="83" spans="1:15">
      <c r="A83" s="8"/>
      <c r="F83" t="s">
        <v>246</v>
      </c>
      <c r="H83" s="15">
        <f>ROUND(SUM(H68:H82),5)</f>
        <v>510086</v>
      </c>
      <c r="I83" s="10"/>
      <c r="K83" s="10"/>
      <c r="M83" s="10"/>
      <c r="O83" s="15">
        <f>ROUND(SUM(O68:O82),5)</f>
        <v>556480.36</v>
      </c>
    </row>
    <row r="84" spans="1:15">
      <c r="A84" s="8"/>
      <c r="E84" t="s">
        <v>230</v>
      </c>
      <c r="H84" s="12">
        <f>ROUND(H33+H39+H45+H58+H67+H83,5)</f>
        <v>619157</v>
      </c>
      <c r="I84" s="10"/>
      <c r="K84" s="10"/>
      <c r="M84" s="10"/>
      <c r="O84" s="12">
        <f>ROUND(O33+O39+O45+O58+O67+O83,5)</f>
        <v>659151.35999999999</v>
      </c>
    </row>
    <row r="85" spans="1:15">
      <c r="A85" s="8"/>
      <c r="E85" t="s">
        <v>48</v>
      </c>
      <c r="H85" s="4"/>
      <c r="I85" s="10"/>
      <c r="K85" s="10"/>
      <c r="M85" s="10"/>
      <c r="O85" s="4"/>
    </row>
    <row r="86" spans="1:15">
      <c r="A86" s="8"/>
      <c r="F86" t="s">
        <v>45</v>
      </c>
      <c r="H86" s="4">
        <v>21840</v>
      </c>
      <c r="I86" s="10">
        <v>655</v>
      </c>
      <c r="J86" t="s">
        <v>204</v>
      </c>
      <c r="K86" s="10"/>
      <c r="M86" s="10"/>
      <c r="O86" s="4">
        <f t="shared" ref="O86:O93" si="3">M86+K86+I86+H86</f>
        <v>22495</v>
      </c>
    </row>
    <row r="87" spans="1:15">
      <c r="A87" s="8"/>
      <c r="F87" t="s">
        <v>43</v>
      </c>
      <c r="H87" s="4">
        <v>0</v>
      </c>
      <c r="I87" s="10"/>
      <c r="K87" s="10"/>
      <c r="M87" s="10"/>
      <c r="O87" s="4">
        <f t="shared" si="3"/>
        <v>0</v>
      </c>
    </row>
    <row r="88" spans="1:15">
      <c r="A88" s="8"/>
      <c r="F88" t="s">
        <v>44</v>
      </c>
      <c r="H88" s="4">
        <v>0</v>
      </c>
      <c r="I88" s="10"/>
      <c r="K88" s="10"/>
      <c r="M88" s="10"/>
      <c r="O88" s="4">
        <f t="shared" si="3"/>
        <v>0</v>
      </c>
    </row>
    <row r="89" spans="1:15">
      <c r="A89" s="8"/>
      <c r="F89" t="s">
        <v>46</v>
      </c>
      <c r="H89" s="4">
        <v>16900</v>
      </c>
      <c r="I89" s="10">
        <f>1600+3380</f>
        <v>4980</v>
      </c>
      <c r="J89" t="s">
        <v>190</v>
      </c>
      <c r="K89" s="10"/>
      <c r="M89" s="10"/>
      <c r="O89" s="4">
        <f t="shared" si="3"/>
        <v>21880</v>
      </c>
    </row>
    <row r="90" spans="1:15">
      <c r="A90" s="8"/>
      <c r="F90" t="s">
        <v>47</v>
      </c>
      <c r="H90" s="4">
        <v>32240</v>
      </c>
      <c r="I90" s="10">
        <f>34320-32240</f>
        <v>2080</v>
      </c>
      <c r="J90" t="s">
        <v>188</v>
      </c>
      <c r="K90" s="10"/>
      <c r="M90" s="10"/>
      <c r="O90" s="4">
        <f t="shared" si="3"/>
        <v>34320</v>
      </c>
    </row>
    <row r="91" spans="1:15">
      <c r="A91" s="8"/>
      <c r="F91" t="s">
        <v>50</v>
      </c>
      <c r="H91" s="4">
        <v>6732</v>
      </c>
      <c r="I91" s="10">
        <f>7013-6732</f>
        <v>281</v>
      </c>
      <c r="K91" s="10">
        <v>258</v>
      </c>
      <c r="L91" t="s">
        <v>175</v>
      </c>
      <c r="M91" s="10"/>
      <c r="O91" s="4">
        <f t="shared" si="3"/>
        <v>7271</v>
      </c>
    </row>
    <row r="92" spans="1:15">
      <c r="A92" s="8"/>
      <c r="F92" t="s">
        <v>51</v>
      </c>
      <c r="H92" s="4">
        <v>2524</v>
      </c>
      <c r="I92" s="10">
        <f>3207-2524</f>
        <v>683</v>
      </c>
      <c r="K92" s="10">
        <f>3559-3207+57</f>
        <v>409</v>
      </c>
      <c r="L92" t="s">
        <v>174</v>
      </c>
      <c r="M92" s="10"/>
      <c r="O92" s="4">
        <f t="shared" si="3"/>
        <v>3616</v>
      </c>
    </row>
    <row r="93" spans="1:15">
      <c r="A93" s="8"/>
      <c r="F93" t="s">
        <v>52</v>
      </c>
      <c r="H93" s="11">
        <v>6666</v>
      </c>
      <c r="I93" s="10">
        <v>306</v>
      </c>
      <c r="K93" s="10"/>
      <c r="M93" s="10"/>
      <c r="O93" s="17">
        <f t="shared" si="3"/>
        <v>6972</v>
      </c>
    </row>
    <row r="94" spans="1:15">
      <c r="A94" s="8"/>
      <c r="E94" t="s">
        <v>229</v>
      </c>
      <c r="H94" s="12">
        <f>ROUND(SUM(H85:H93),5)</f>
        <v>86902</v>
      </c>
      <c r="I94" s="10"/>
      <c r="K94" s="10"/>
      <c r="M94" s="10"/>
      <c r="O94" s="12">
        <f>ROUND(SUM(O85:O93),5)</f>
        <v>96554</v>
      </c>
    </row>
    <row r="95" spans="1:15">
      <c r="A95" s="8"/>
      <c r="E95" t="s">
        <v>42</v>
      </c>
      <c r="H95" s="4"/>
      <c r="I95" s="10"/>
      <c r="K95" s="10"/>
      <c r="M95" s="10"/>
      <c r="O95" s="4"/>
    </row>
    <row r="96" spans="1:15">
      <c r="A96" s="8"/>
      <c r="F96" t="s">
        <v>60</v>
      </c>
      <c r="H96" s="4"/>
      <c r="I96" s="10"/>
      <c r="K96" s="10"/>
      <c r="M96" s="10"/>
      <c r="O96" s="4"/>
    </row>
    <row r="97" spans="1:15">
      <c r="A97" s="8"/>
      <c r="G97" t="s">
        <v>115</v>
      </c>
      <c r="H97" s="4">
        <v>3600</v>
      </c>
      <c r="I97" s="10"/>
      <c r="K97" s="10"/>
      <c r="M97" s="10"/>
      <c r="O97" s="4">
        <f>M97+K97+I97+H97</f>
        <v>3600</v>
      </c>
    </row>
    <row r="98" spans="1:15">
      <c r="A98" s="8"/>
      <c r="G98" t="s">
        <v>116</v>
      </c>
      <c r="H98" s="4">
        <v>6000</v>
      </c>
      <c r="I98" s="10"/>
      <c r="K98" s="10"/>
      <c r="M98" s="10"/>
      <c r="O98" s="4">
        <f>M98+K98+I98+H98</f>
        <v>6000</v>
      </c>
    </row>
    <row r="99" spans="1:15">
      <c r="A99" s="8"/>
      <c r="G99" t="s">
        <v>117</v>
      </c>
      <c r="H99" s="4">
        <v>3500</v>
      </c>
      <c r="I99" s="10"/>
      <c r="K99" s="10"/>
      <c r="M99" s="10"/>
      <c r="O99" s="4">
        <f>M99+K99+I99+H99</f>
        <v>3500</v>
      </c>
    </row>
    <row r="100" spans="1:15">
      <c r="A100" s="8"/>
      <c r="G100" t="s">
        <v>118</v>
      </c>
      <c r="H100" s="4">
        <v>0</v>
      </c>
      <c r="I100" s="10"/>
      <c r="K100" s="10"/>
      <c r="M100" s="10"/>
      <c r="O100" s="4">
        <f>M100+K100+I100+H100</f>
        <v>0</v>
      </c>
    </row>
    <row r="101" spans="1:15">
      <c r="A101" s="8"/>
      <c r="G101" t="s">
        <v>119</v>
      </c>
      <c r="H101" s="11">
        <v>2000</v>
      </c>
      <c r="I101" s="10"/>
      <c r="K101" s="10"/>
      <c r="M101" s="10"/>
      <c r="O101" s="17">
        <f>M101+K101+I101+H101</f>
        <v>2000</v>
      </c>
    </row>
    <row r="102" spans="1:15">
      <c r="A102" s="8"/>
      <c r="F102" t="s">
        <v>231</v>
      </c>
      <c r="H102" s="12">
        <f>ROUND(SUM(H96:H101),5)</f>
        <v>15100</v>
      </c>
      <c r="I102" s="10"/>
      <c r="K102" s="10"/>
      <c r="M102" s="10"/>
      <c r="O102" s="12">
        <f>ROUND(SUM(O96:O101),5)</f>
        <v>15100</v>
      </c>
    </row>
    <row r="103" spans="1:15">
      <c r="A103" s="8"/>
      <c r="F103" t="s">
        <v>59</v>
      </c>
      <c r="H103" s="4">
        <v>31950</v>
      </c>
      <c r="I103" s="10">
        <f>37435-31950</f>
        <v>5485</v>
      </c>
      <c r="J103" t="s">
        <v>16</v>
      </c>
      <c r="K103" s="10">
        <f>38781.94-37435</f>
        <v>1346.9400000000023</v>
      </c>
      <c r="L103" t="s">
        <v>212</v>
      </c>
      <c r="M103" s="10"/>
      <c r="O103" s="4">
        <f>M103+K103+I103+H103</f>
        <v>38781.94</v>
      </c>
    </row>
    <row r="104" spans="1:15">
      <c r="A104" s="8"/>
      <c r="F104" t="s">
        <v>67</v>
      </c>
      <c r="H104" s="4"/>
      <c r="I104" s="10"/>
      <c r="K104" s="10"/>
      <c r="M104" s="10"/>
      <c r="O104" s="4"/>
    </row>
    <row r="105" spans="1:15">
      <c r="A105" s="8"/>
      <c r="G105" t="s">
        <v>57</v>
      </c>
      <c r="H105" s="4">
        <v>500</v>
      </c>
      <c r="I105" s="10"/>
      <c r="K105" s="10"/>
      <c r="M105" s="10"/>
      <c r="O105" s="4">
        <f t="shared" ref="O105:O115" si="4">M105+K105+I105+H105</f>
        <v>500</v>
      </c>
    </row>
    <row r="106" spans="1:15">
      <c r="A106" s="8"/>
      <c r="G106" t="s">
        <v>58</v>
      </c>
      <c r="H106" s="4">
        <v>1560</v>
      </c>
      <c r="I106" s="10"/>
      <c r="K106" s="10"/>
      <c r="M106" s="10"/>
      <c r="O106" s="4">
        <f t="shared" si="4"/>
        <v>1560</v>
      </c>
    </row>
    <row r="107" spans="1:15">
      <c r="A107" s="8"/>
      <c r="G107" t="s">
        <v>61</v>
      </c>
      <c r="H107" s="4">
        <v>8500</v>
      </c>
      <c r="I107" s="10"/>
      <c r="K107" s="10"/>
      <c r="M107" s="10"/>
      <c r="O107" s="4">
        <f t="shared" si="4"/>
        <v>8500</v>
      </c>
    </row>
    <row r="108" spans="1:15">
      <c r="A108" s="8"/>
      <c r="G108" t="s">
        <v>62</v>
      </c>
      <c r="H108" s="4">
        <v>1150</v>
      </c>
      <c r="I108" s="10"/>
      <c r="K108" s="10"/>
      <c r="M108" s="10"/>
      <c r="O108" s="4">
        <f t="shared" si="4"/>
        <v>1150</v>
      </c>
    </row>
    <row r="109" spans="1:15">
      <c r="A109" s="8"/>
      <c r="G109" t="s">
        <v>63</v>
      </c>
      <c r="H109" s="4">
        <v>500</v>
      </c>
      <c r="I109" s="10"/>
      <c r="K109" s="10"/>
      <c r="M109" s="10"/>
      <c r="O109" s="4">
        <f t="shared" si="4"/>
        <v>500</v>
      </c>
    </row>
    <row r="110" spans="1:15">
      <c r="A110" s="8"/>
      <c r="G110" t="s">
        <v>64</v>
      </c>
      <c r="H110" s="4">
        <v>2800</v>
      </c>
      <c r="I110" s="10">
        <v>400</v>
      </c>
      <c r="J110" t="s">
        <v>211</v>
      </c>
      <c r="K110" s="10"/>
      <c r="M110" s="10"/>
      <c r="O110" s="4">
        <f t="shared" si="4"/>
        <v>3200</v>
      </c>
    </row>
    <row r="111" spans="1:15">
      <c r="A111" s="8"/>
      <c r="G111" t="s">
        <v>65</v>
      </c>
      <c r="H111" s="4">
        <v>3000</v>
      </c>
      <c r="I111" s="10"/>
      <c r="K111" s="10">
        <f>-3000+1975</f>
        <v>-1025</v>
      </c>
      <c r="L111" t="s">
        <v>12</v>
      </c>
      <c r="M111" s="10"/>
      <c r="O111" s="4">
        <f t="shared" si="4"/>
        <v>1975</v>
      </c>
    </row>
    <row r="112" spans="1:15">
      <c r="A112" s="8"/>
      <c r="G112" t="s">
        <v>66</v>
      </c>
      <c r="H112" s="4">
        <v>400</v>
      </c>
      <c r="I112" s="10">
        <v>1300</v>
      </c>
      <c r="J112" t="s">
        <v>257</v>
      </c>
      <c r="K112" s="10"/>
      <c r="M112" s="10"/>
      <c r="O112" s="4">
        <f t="shared" si="4"/>
        <v>1700</v>
      </c>
    </row>
    <row r="113" spans="1:15">
      <c r="A113" s="8"/>
      <c r="G113" t="s">
        <v>68</v>
      </c>
      <c r="H113" s="4">
        <v>1250</v>
      </c>
      <c r="I113" s="10"/>
      <c r="K113" s="10"/>
      <c r="M113" s="10"/>
      <c r="O113" s="4">
        <f t="shared" si="4"/>
        <v>1250</v>
      </c>
    </row>
    <row r="114" spans="1:15">
      <c r="A114" s="8"/>
      <c r="G114" t="s">
        <v>69</v>
      </c>
      <c r="H114" s="4">
        <v>350</v>
      </c>
      <c r="I114" s="10"/>
      <c r="K114" s="10"/>
      <c r="M114" s="10"/>
      <c r="O114" s="4">
        <f t="shared" si="4"/>
        <v>350</v>
      </c>
    </row>
    <row r="115" spans="1:15">
      <c r="A115" s="8"/>
      <c r="G115" t="s">
        <v>70</v>
      </c>
      <c r="H115" s="11">
        <v>1300</v>
      </c>
      <c r="I115" s="10"/>
      <c r="K115" s="10"/>
      <c r="M115" s="10"/>
      <c r="O115" s="4">
        <f t="shared" si="4"/>
        <v>1300</v>
      </c>
    </row>
    <row r="116" spans="1:15">
      <c r="A116" s="8"/>
      <c r="F116" t="s">
        <v>232</v>
      </c>
      <c r="H116" s="12">
        <f>ROUND(SUM(H104:H115),5)</f>
        <v>21310</v>
      </c>
      <c r="I116" s="10"/>
      <c r="K116" s="10"/>
      <c r="M116" s="10"/>
      <c r="O116" s="12">
        <f>ROUND(SUM(O104:O115),5)</f>
        <v>21985</v>
      </c>
    </row>
    <row r="117" spans="1:15">
      <c r="A117" s="8"/>
      <c r="F117" t="s">
        <v>71</v>
      </c>
      <c r="H117" s="4">
        <v>19171</v>
      </c>
      <c r="I117" s="10"/>
      <c r="K117" s="10"/>
      <c r="M117" s="10"/>
      <c r="O117" s="4">
        <f t="shared" ref="O117:O124" si="5">M117+K117+I117+H117</f>
        <v>19171</v>
      </c>
    </row>
    <row r="118" spans="1:15">
      <c r="A118" s="8"/>
      <c r="F118" t="s">
        <v>72</v>
      </c>
      <c r="H118" s="4">
        <v>600</v>
      </c>
      <c r="I118" s="10"/>
      <c r="K118" s="10"/>
      <c r="M118" s="10"/>
      <c r="O118" s="4">
        <f t="shared" si="5"/>
        <v>600</v>
      </c>
    </row>
    <row r="119" spans="1:15">
      <c r="A119" s="8"/>
      <c r="F119" t="s">
        <v>73</v>
      </c>
      <c r="H119" s="4">
        <v>3900</v>
      </c>
      <c r="I119" s="10"/>
      <c r="K119" s="10"/>
      <c r="M119" s="10"/>
      <c r="O119" s="4">
        <f t="shared" si="5"/>
        <v>3900</v>
      </c>
    </row>
    <row r="120" spans="1:15">
      <c r="A120" s="8"/>
      <c r="F120" t="s">
        <v>74</v>
      </c>
      <c r="H120" s="4"/>
      <c r="I120" s="10"/>
      <c r="K120" s="10"/>
      <c r="M120" s="10"/>
      <c r="O120" s="4">
        <f t="shared" si="5"/>
        <v>0</v>
      </c>
    </row>
    <row r="121" spans="1:15">
      <c r="A121" s="8"/>
      <c r="G121" t="s">
        <v>53</v>
      </c>
      <c r="H121" s="4">
        <v>2600</v>
      </c>
      <c r="I121" s="10"/>
      <c r="K121" s="10"/>
      <c r="M121" s="10"/>
      <c r="O121" s="4">
        <f t="shared" si="5"/>
        <v>2600</v>
      </c>
    </row>
    <row r="122" spans="1:15">
      <c r="A122" s="8"/>
      <c r="G122" t="s">
        <v>54</v>
      </c>
      <c r="H122" s="4">
        <v>11500</v>
      </c>
      <c r="I122" s="10"/>
      <c r="K122" s="10"/>
      <c r="M122" s="10"/>
      <c r="O122" s="4">
        <f t="shared" si="5"/>
        <v>11500</v>
      </c>
    </row>
    <row r="123" spans="1:15">
      <c r="A123" s="8"/>
      <c r="G123" t="s">
        <v>55</v>
      </c>
      <c r="H123" s="4">
        <v>2600</v>
      </c>
      <c r="I123" s="10"/>
      <c r="K123" s="10"/>
      <c r="M123" s="10"/>
      <c r="O123" s="4">
        <f t="shared" si="5"/>
        <v>2600</v>
      </c>
    </row>
    <row r="124" spans="1:15">
      <c r="A124" s="8"/>
      <c r="G124" t="s">
        <v>56</v>
      </c>
      <c r="H124" s="11">
        <v>1800</v>
      </c>
      <c r="I124" s="10"/>
      <c r="K124" s="10"/>
      <c r="M124" s="10"/>
      <c r="O124" s="4">
        <f t="shared" si="5"/>
        <v>1800</v>
      </c>
    </row>
    <row r="125" spans="1:15">
      <c r="A125" s="8"/>
      <c r="F125" t="s">
        <v>233</v>
      </c>
      <c r="H125" s="12">
        <f>ROUND(SUM(H120:H124),5)</f>
        <v>18500</v>
      </c>
      <c r="I125" s="10"/>
      <c r="K125" s="10"/>
      <c r="M125" s="10"/>
      <c r="O125" s="13">
        <f>ROUND(SUM(O120:O124),5)</f>
        <v>18500</v>
      </c>
    </row>
    <row r="126" spans="1:15">
      <c r="A126" s="8"/>
      <c r="F126" t="s">
        <v>75</v>
      </c>
      <c r="H126" s="4"/>
      <c r="I126" s="10"/>
      <c r="K126" s="10"/>
      <c r="M126" s="10"/>
      <c r="O126" s="4"/>
    </row>
    <row r="127" spans="1:15">
      <c r="A127" s="8"/>
      <c r="G127" t="s">
        <v>86</v>
      </c>
      <c r="H127" s="4">
        <v>0</v>
      </c>
      <c r="I127" s="10"/>
      <c r="K127" s="10"/>
      <c r="M127" s="10"/>
      <c r="O127" s="4">
        <f>M127+K127+I127+H127</f>
        <v>0</v>
      </c>
    </row>
    <row r="128" spans="1:15">
      <c r="A128" s="8"/>
      <c r="F128" t="s">
        <v>234</v>
      </c>
      <c r="H128" s="18">
        <f>ROUND(SUM(H126:H127),5)</f>
        <v>0</v>
      </c>
      <c r="I128" s="10"/>
      <c r="K128" s="10"/>
      <c r="M128" s="10"/>
      <c r="O128" s="18">
        <f>ROUND(SUM(O126:O127),5)</f>
        <v>0</v>
      </c>
    </row>
    <row r="129" spans="1:15">
      <c r="A129" s="8"/>
      <c r="E129" t="s">
        <v>228</v>
      </c>
      <c r="H129" s="14">
        <f>ROUND(H95+SUM(H102:H103)+SUM(H116:H119)+H125+H128,5)</f>
        <v>110531</v>
      </c>
      <c r="I129" s="10"/>
      <c r="K129" s="10"/>
      <c r="M129" s="10"/>
      <c r="O129" s="14">
        <f>ROUND(O95+SUM(O102:O103)+SUM(O116:O119)+O125+O128,5)</f>
        <v>118037.94</v>
      </c>
    </row>
    <row r="130" spans="1:15">
      <c r="A130" s="8"/>
      <c r="H130" s="18"/>
      <c r="I130" s="10"/>
      <c r="K130" s="10"/>
      <c r="M130" s="10"/>
      <c r="O130" s="18"/>
    </row>
    <row r="131" spans="1:15">
      <c r="A131" s="8"/>
      <c r="E131" t="s">
        <v>120</v>
      </c>
      <c r="H131" s="4"/>
      <c r="I131" s="10"/>
      <c r="K131" s="10"/>
      <c r="M131" s="10"/>
      <c r="O131" s="4"/>
    </row>
    <row r="132" spans="1:15">
      <c r="A132" s="8"/>
      <c r="G132" t="s">
        <v>121</v>
      </c>
      <c r="H132" s="4">
        <v>0</v>
      </c>
      <c r="I132" s="10"/>
      <c r="K132" s="10"/>
      <c r="M132" s="10"/>
      <c r="O132" s="4">
        <f>M132+K132+I132+H132</f>
        <v>0</v>
      </c>
    </row>
    <row r="133" spans="1:15">
      <c r="A133" s="8"/>
      <c r="E133" t="s">
        <v>235</v>
      </c>
      <c r="H133" s="18">
        <f>H132</f>
        <v>0</v>
      </c>
      <c r="I133" s="10"/>
      <c r="K133" s="10"/>
      <c r="M133" s="10"/>
      <c r="O133" s="18">
        <f>O132</f>
        <v>0</v>
      </c>
    </row>
    <row r="134" spans="1:15">
      <c r="A134" s="8"/>
      <c r="H134" s="18"/>
      <c r="I134" s="10"/>
      <c r="K134" s="10"/>
      <c r="M134" s="10"/>
      <c r="O134" s="18"/>
    </row>
    <row r="135" spans="1:15">
      <c r="A135" s="8"/>
      <c r="D135" t="s">
        <v>247</v>
      </c>
      <c r="H135" s="14">
        <f>ROUND(H32+H84+H94+H132+H129,5)</f>
        <v>816590</v>
      </c>
      <c r="I135" s="10"/>
      <c r="K135" s="10"/>
      <c r="M135" s="10"/>
      <c r="O135" s="14">
        <f>ROUND(O32+O84+O94+O132+O129,5)</f>
        <v>873743.3</v>
      </c>
    </row>
    <row r="136" spans="1:15">
      <c r="A136" s="8"/>
      <c r="B136" t="s">
        <v>240</v>
      </c>
      <c r="H136" s="18">
        <f>ROUND(+H31-H135,5)</f>
        <v>11432</v>
      </c>
      <c r="I136" s="10"/>
      <c r="K136" s="10"/>
      <c r="M136" s="10"/>
      <c r="O136" s="14">
        <f>ROUND(+O31-O135,5)</f>
        <v>1485.7</v>
      </c>
    </row>
    <row r="137" spans="1:15">
      <c r="A137" s="8"/>
      <c r="H137" s="12"/>
    </row>
    <row r="138" spans="1:15">
      <c r="A138" s="8"/>
      <c r="D138" t="s">
        <v>40</v>
      </c>
      <c r="H138" s="12"/>
      <c r="K138">
        <f>SUM(K9:K136)</f>
        <v>-1302.6999999999971</v>
      </c>
    </row>
    <row r="139" spans="1:15">
      <c r="A139" s="8"/>
      <c r="D139" t="s">
        <v>41</v>
      </c>
      <c r="H139" s="12"/>
    </row>
    <row r="140" spans="1:15">
      <c r="A140" s="8" t="s">
        <v>239</v>
      </c>
      <c r="H140" s="19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56"/>
  <sheetViews>
    <sheetView topLeftCell="A100" workbookViewId="0">
      <selection activeCell="S30" sqref="S30"/>
    </sheetView>
  </sheetViews>
  <sheetFormatPr defaultRowHeight="13.2"/>
  <cols>
    <col min="2" max="2" width="11" customWidth="1"/>
    <col min="5" max="5" width="18.109375" customWidth="1"/>
    <col min="7" max="7" width="10" customWidth="1"/>
    <col min="8" max="8" width="13.5546875" customWidth="1"/>
    <col min="9" max="9" width="13.44140625" customWidth="1"/>
    <col min="10" max="10" width="10.6640625" customWidth="1"/>
    <col min="11" max="11" width="15.5546875" customWidth="1"/>
    <col min="12" max="12" width="4.109375" customWidth="1"/>
    <col min="13" max="13" width="3.33203125" customWidth="1"/>
    <col min="14" max="14" width="9.6640625" customWidth="1"/>
    <col min="15" max="15" width="12.44140625" customWidth="1"/>
    <col min="17" max="17" width="11.6640625" customWidth="1"/>
    <col min="18" max="19" width="10.6640625" customWidth="1"/>
    <col min="20" max="20" width="11.5546875" customWidth="1"/>
    <col min="21" max="21" width="12.109375" customWidth="1"/>
    <col min="22" max="22" width="13.33203125" customWidth="1"/>
    <col min="23" max="23" width="12.6640625" customWidth="1"/>
    <col min="24" max="24" width="11.33203125" customWidth="1"/>
    <col min="25" max="25" width="9.6640625" customWidth="1"/>
  </cols>
  <sheetData>
    <row r="1" spans="1:23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23">
      <c r="M2" t="s">
        <v>195</v>
      </c>
    </row>
    <row r="3" spans="1:23">
      <c r="A3" s="20"/>
      <c r="B3" s="20"/>
      <c r="C3" s="20"/>
      <c r="D3" s="20" t="s">
        <v>205</v>
      </c>
      <c r="E3" s="20"/>
      <c r="F3" s="20" t="s">
        <v>248</v>
      </c>
      <c r="G3" s="20" t="s">
        <v>199</v>
      </c>
      <c r="H3" s="20"/>
      <c r="I3" s="20" t="s">
        <v>125</v>
      </c>
      <c r="J3" s="20"/>
    </row>
    <row r="4" spans="1:23">
      <c r="A4" s="20"/>
      <c r="B4" s="20" t="s">
        <v>145</v>
      </c>
      <c r="C4" s="20"/>
      <c r="D4" s="20" t="s">
        <v>209</v>
      </c>
      <c r="E4" s="20" t="s">
        <v>198</v>
      </c>
      <c r="F4" s="20" t="s">
        <v>263</v>
      </c>
      <c r="G4" s="20" t="s">
        <v>172</v>
      </c>
      <c r="H4" s="20"/>
      <c r="I4" s="20">
        <v>1</v>
      </c>
      <c r="J4" s="20"/>
      <c r="M4" t="s">
        <v>262</v>
      </c>
    </row>
    <row r="5" spans="1:23">
      <c r="A5" s="20"/>
      <c r="B5" s="20" t="s">
        <v>148</v>
      </c>
      <c r="C5" s="20"/>
      <c r="D5" s="21">
        <v>54847</v>
      </c>
      <c r="E5" s="20">
        <f>D5/2</f>
        <v>27423.5</v>
      </c>
      <c r="F5" s="21">
        <v>1</v>
      </c>
      <c r="G5" s="21">
        <v>0</v>
      </c>
      <c r="H5" s="22">
        <f>(D5*F5)+(E5*G5)</f>
        <v>54847</v>
      </c>
      <c r="I5" s="23">
        <f>I4*H5</f>
        <v>54847</v>
      </c>
      <c r="J5" s="20"/>
      <c r="M5" t="s">
        <v>0</v>
      </c>
    </row>
    <row r="6" spans="1:23">
      <c r="A6" s="20"/>
      <c r="B6" s="20"/>
      <c r="C6" s="20"/>
      <c r="D6" s="20"/>
      <c r="E6" s="20"/>
      <c r="F6" s="20"/>
      <c r="G6" s="20"/>
      <c r="H6" s="22"/>
      <c r="I6" s="20"/>
      <c r="J6" s="20"/>
      <c r="K6" t="s">
        <v>242</v>
      </c>
    </row>
    <row r="7" spans="1:23">
      <c r="A7" s="20"/>
      <c r="B7" s="20"/>
      <c r="C7" s="20" t="s">
        <v>214</v>
      </c>
      <c r="D7" s="20"/>
      <c r="E7" s="24">
        <v>6.2E-2</v>
      </c>
      <c r="F7" s="24"/>
      <c r="G7" s="24"/>
      <c r="H7" s="22">
        <f>H5*E7</f>
        <v>3400.5140000000001</v>
      </c>
      <c r="I7" s="23">
        <f>I4*H7</f>
        <v>3400.5140000000001</v>
      </c>
      <c r="J7" s="20"/>
      <c r="K7" s="25">
        <f>I7+I8+I9</f>
        <v>4629.7955000000002</v>
      </c>
    </row>
    <row r="8" spans="1:23">
      <c r="A8" s="20"/>
      <c r="B8" s="20"/>
      <c r="C8" s="20" t="s">
        <v>184</v>
      </c>
      <c r="D8" s="20"/>
      <c r="E8" s="24">
        <v>1.4500000000000001E-2</v>
      </c>
      <c r="F8" s="24"/>
      <c r="G8" s="24"/>
      <c r="H8" s="22">
        <f>H5*E8</f>
        <v>795.28150000000005</v>
      </c>
      <c r="I8" s="23">
        <f>H8*I4</f>
        <v>795.28150000000005</v>
      </c>
      <c r="J8" s="20"/>
      <c r="M8" t="s">
        <v>164</v>
      </c>
    </row>
    <row r="9" spans="1:23">
      <c r="A9" s="20"/>
      <c r="B9" s="20"/>
      <c r="C9" s="20" t="s">
        <v>136</v>
      </c>
      <c r="D9" s="20"/>
      <c r="E9" s="24">
        <v>6.2E-2</v>
      </c>
      <c r="F9" s="24"/>
      <c r="G9" s="24"/>
      <c r="H9" s="22">
        <f>H5*E9</f>
        <v>3400.5140000000001</v>
      </c>
      <c r="I9" s="23">
        <v>434</v>
      </c>
      <c r="J9" s="20" t="s">
        <v>4</v>
      </c>
    </row>
    <row r="10" spans="1:23">
      <c r="A10" s="20"/>
      <c r="B10" s="20"/>
      <c r="C10" s="20"/>
      <c r="D10" s="20"/>
      <c r="E10" s="24"/>
      <c r="F10" s="24"/>
      <c r="G10" s="24"/>
      <c r="H10" s="22"/>
      <c r="I10" s="20"/>
      <c r="J10" s="20"/>
    </row>
    <row r="11" spans="1:23">
      <c r="A11" s="20"/>
      <c r="B11" s="20"/>
      <c r="C11" s="20" t="s">
        <v>260</v>
      </c>
      <c r="D11" s="20"/>
      <c r="E11" s="24">
        <v>5.0100000000000006E-2</v>
      </c>
      <c r="F11" s="24"/>
      <c r="G11" s="24"/>
      <c r="H11" s="22">
        <f>(D5*F5)*E11</f>
        <v>2747.8347000000003</v>
      </c>
      <c r="I11" s="26">
        <f>H11*I4</f>
        <v>2747.8347000000003</v>
      </c>
      <c r="J11" s="20"/>
    </row>
    <row r="12" spans="1:23">
      <c r="A12" s="20"/>
      <c r="B12" s="20"/>
      <c r="C12" s="20"/>
      <c r="D12" s="20"/>
      <c r="E12" s="24"/>
      <c r="F12" s="24"/>
      <c r="G12" s="24"/>
      <c r="H12" s="22"/>
      <c r="I12" s="20"/>
      <c r="J12" s="20"/>
      <c r="O12" t="s">
        <v>222</v>
      </c>
    </row>
    <row r="13" spans="1:23">
      <c r="A13" s="20"/>
      <c r="B13" s="20"/>
      <c r="C13" s="20" t="s">
        <v>183</v>
      </c>
      <c r="D13" s="20"/>
      <c r="E13" s="24"/>
      <c r="F13" s="24" t="s">
        <v>128</v>
      </c>
      <c r="G13" s="24"/>
      <c r="H13" s="22"/>
      <c r="I13" s="20"/>
      <c r="J13" s="20"/>
      <c r="Q13" t="s">
        <v>255</v>
      </c>
      <c r="R13" t="s">
        <v>242</v>
      </c>
      <c r="S13" t="s">
        <v>256</v>
      </c>
      <c r="T13" t="s">
        <v>129</v>
      </c>
    </row>
    <row r="14" spans="1:23">
      <c r="A14" s="20"/>
      <c r="B14" s="20"/>
      <c r="C14" s="20" t="s">
        <v>22</v>
      </c>
      <c r="D14" s="20"/>
      <c r="E14" s="20">
        <f>381/2080</f>
        <v>0.18317307692307691</v>
      </c>
      <c r="F14" s="20"/>
      <c r="G14" s="20"/>
      <c r="H14" s="22">
        <v>151.34</v>
      </c>
      <c r="I14" s="20">
        <f>H14*I4</f>
        <v>151.34</v>
      </c>
      <c r="J14" s="20"/>
      <c r="N14" t="s">
        <v>264</v>
      </c>
      <c r="O14" t="s">
        <v>144</v>
      </c>
      <c r="Q14" s="27">
        <f>I5</f>
        <v>54847</v>
      </c>
      <c r="R14" s="27">
        <f>K7</f>
        <v>4629.7955000000002</v>
      </c>
      <c r="S14" s="27">
        <f>I11</f>
        <v>2747.8347000000003</v>
      </c>
      <c r="T14" s="27">
        <v>3336</v>
      </c>
      <c r="W14" s="2">
        <f t="shared" ref="W14:W23" si="0">Q14+R14+S14+T14</f>
        <v>65560.6302</v>
      </c>
    </row>
    <row r="15" spans="1:23">
      <c r="A15" s="20"/>
      <c r="B15" s="20"/>
      <c r="C15" s="20" t="s">
        <v>13</v>
      </c>
      <c r="D15" s="20"/>
      <c r="E15" s="20"/>
      <c r="F15" s="20"/>
      <c r="G15" s="20"/>
      <c r="H15" s="28"/>
      <c r="I15" s="29"/>
      <c r="J15" s="20"/>
      <c r="O15" t="s">
        <v>156</v>
      </c>
      <c r="Q15" s="27">
        <f>W83+W98</f>
        <v>44950</v>
      </c>
      <c r="R15" s="27">
        <f>Y85+Y100</f>
        <v>5690.67</v>
      </c>
      <c r="S15" s="27">
        <f>W104+W89</f>
        <v>2251.9950000000003</v>
      </c>
      <c r="T15" s="27">
        <v>0</v>
      </c>
      <c r="W15" s="2">
        <f t="shared" si="0"/>
        <v>52892.665000000001</v>
      </c>
    </row>
    <row r="16" spans="1:23">
      <c r="A16" s="20"/>
      <c r="B16" s="20"/>
      <c r="C16" s="20"/>
      <c r="D16" s="20"/>
      <c r="E16" s="20"/>
      <c r="F16" s="20"/>
      <c r="G16" s="20"/>
      <c r="H16" s="22">
        <f>SUM(H5:H14)</f>
        <v>65342.484199999999</v>
      </c>
      <c r="I16" s="22">
        <f>SUM(I5:I14)</f>
        <v>62375.970199999996</v>
      </c>
      <c r="J16" s="20"/>
      <c r="N16" t="s">
        <v>264</v>
      </c>
      <c r="O16" t="s">
        <v>132</v>
      </c>
      <c r="Q16" s="27">
        <v>0</v>
      </c>
      <c r="R16" s="27">
        <v>0</v>
      </c>
      <c r="S16" s="27">
        <v>0</v>
      </c>
      <c r="T16" s="27">
        <v>0</v>
      </c>
      <c r="W16" s="2">
        <f t="shared" si="0"/>
        <v>0</v>
      </c>
    </row>
    <row r="17" spans="2:23">
      <c r="N17" t="s">
        <v>264</v>
      </c>
      <c r="O17" t="s">
        <v>143</v>
      </c>
      <c r="Q17" s="27">
        <f>K37</f>
        <v>53913.600000000006</v>
      </c>
      <c r="R17" s="27">
        <f>K39</f>
        <v>4558.3904000000002</v>
      </c>
      <c r="S17" s="27">
        <f>I42</f>
        <v>2534.8515840000005</v>
      </c>
      <c r="T17" s="27">
        <v>3336</v>
      </c>
      <c r="W17" s="2">
        <f t="shared" si="0"/>
        <v>64342.841984000013</v>
      </c>
    </row>
    <row r="18" spans="2:23">
      <c r="B18" s="20"/>
      <c r="C18" s="20"/>
      <c r="D18" s="20" t="s">
        <v>205</v>
      </c>
      <c r="E18" s="20"/>
      <c r="F18" s="20" t="s">
        <v>248</v>
      </c>
      <c r="G18" s="20" t="s">
        <v>199</v>
      </c>
      <c r="H18" s="20"/>
      <c r="I18" s="20" t="s">
        <v>125</v>
      </c>
      <c r="J18" s="20"/>
      <c r="N18" t="s">
        <v>264</v>
      </c>
      <c r="O18" t="s">
        <v>161</v>
      </c>
      <c r="Q18" s="27">
        <f>H52</f>
        <v>48828.000000000007</v>
      </c>
      <c r="R18" s="27">
        <f>K55</f>
        <v>4169.3420000000006</v>
      </c>
      <c r="S18" s="27">
        <f>I58</f>
        <v>2295.7423200000003</v>
      </c>
      <c r="T18" s="27">
        <v>3336</v>
      </c>
      <c r="W18" s="2">
        <f t="shared" si="0"/>
        <v>58629.084320000002</v>
      </c>
    </row>
    <row r="19" spans="2:23">
      <c r="B19" s="20" t="s">
        <v>133</v>
      </c>
      <c r="C19" s="20"/>
      <c r="D19" s="20" t="s">
        <v>209</v>
      </c>
      <c r="E19" s="20" t="s">
        <v>198</v>
      </c>
      <c r="F19" s="20" t="s">
        <v>263</v>
      </c>
      <c r="G19" s="20" t="s">
        <v>172</v>
      </c>
      <c r="H19" s="20"/>
      <c r="I19" s="20">
        <v>0</v>
      </c>
      <c r="J19" s="20"/>
      <c r="N19" t="s">
        <v>264</v>
      </c>
      <c r="O19" t="s">
        <v>161</v>
      </c>
      <c r="P19" t="s">
        <v>169</v>
      </c>
      <c r="Q19" s="27">
        <f>H52</f>
        <v>48828.000000000007</v>
      </c>
      <c r="R19" s="27">
        <f>K55</f>
        <v>4169.3420000000006</v>
      </c>
      <c r="S19" s="27">
        <f>I58</f>
        <v>2295.7423200000003</v>
      </c>
      <c r="T19" s="27">
        <v>3336</v>
      </c>
      <c r="W19" s="2">
        <f t="shared" si="0"/>
        <v>58629.084320000002</v>
      </c>
    </row>
    <row r="20" spans="2:23">
      <c r="B20" s="20" t="s">
        <v>148</v>
      </c>
      <c r="C20" s="20"/>
      <c r="D20" s="21">
        <v>1</v>
      </c>
      <c r="E20" s="20">
        <f>D20/2</f>
        <v>0.5</v>
      </c>
      <c r="F20" s="21">
        <v>46850</v>
      </c>
      <c r="G20" s="21"/>
      <c r="H20" s="22">
        <f>(D20*F20)+(E20*G20)</f>
        <v>46850</v>
      </c>
      <c r="I20" s="23">
        <f>I19*H20</f>
        <v>0</v>
      </c>
      <c r="J20" s="20"/>
      <c r="O20" t="s">
        <v>182</v>
      </c>
      <c r="Q20" s="27">
        <f>$H$68+$H$69</f>
        <v>46230.799999999996</v>
      </c>
      <c r="R20" s="27">
        <f>$K$71</f>
        <v>3970.6561999999994</v>
      </c>
      <c r="S20" s="27">
        <f>$H$74</f>
        <v>2183.0333519999999</v>
      </c>
      <c r="T20" s="27">
        <v>3336</v>
      </c>
      <c r="W20" s="2">
        <f t="shared" si="0"/>
        <v>55720.489551999992</v>
      </c>
    </row>
    <row r="21" spans="2:23">
      <c r="B21" s="20"/>
      <c r="C21" s="20"/>
      <c r="D21" s="20"/>
      <c r="E21" s="20"/>
      <c r="F21" s="20"/>
      <c r="G21" s="20"/>
      <c r="H21" s="22"/>
      <c r="I21" s="20"/>
      <c r="J21" s="23"/>
      <c r="K21" t="s">
        <v>242</v>
      </c>
      <c r="O21" t="s">
        <v>182</v>
      </c>
      <c r="Q21" s="27">
        <f>$H$68+$H$69</f>
        <v>46230.799999999996</v>
      </c>
      <c r="R21" s="27">
        <f>$K$71</f>
        <v>3970.6561999999994</v>
      </c>
      <c r="S21" s="27">
        <f>$H$74</f>
        <v>2183.0333519999999</v>
      </c>
      <c r="T21" s="27">
        <v>3336</v>
      </c>
      <c r="W21" s="2">
        <f t="shared" si="0"/>
        <v>55720.489551999992</v>
      </c>
    </row>
    <row r="22" spans="2:23">
      <c r="B22" s="20"/>
      <c r="C22" s="20" t="s">
        <v>214</v>
      </c>
      <c r="D22" s="20"/>
      <c r="E22" s="24">
        <v>6.2E-2</v>
      </c>
      <c r="F22" s="24"/>
      <c r="G22" s="24"/>
      <c r="H22" s="22">
        <f>H20*E22</f>
        <v>2904.7</v>
      </c>
      <c r="I22" s="23">
        <f>I19*H22</f>
        <v>0</v>
      </c>
      <c r="J22" s="20"/>
      <c r="K22" s="25">
        <f>I22+I23+I24</f>
        <v>434</v>
      </c>
      <c r="O22" t="s">
        <v>182</v>
      </c>
      <c r="Q22" s="27">
        <f>$H$68+$H$69</f>
        <v>46230.799999999996</v>
      </c>
      <c r="R22" s="27">
        <f>$K$71</f>
        <v>3970.6561999999994</v>
      </c>
      <c r="S22" s="27">
        <f>$H$74</f>
        <v>2183.0333519999999</v>
      </c>
      <c r="T22" s="27">
        <v>3336</v>
      </c>
      <c r="W22" s="2">
        <f t="shared" si="0"/>
        <v>55720.489551999992</v>
      </c>
    </row>
    <row r="23" spans="2:23">
      <c r="B23" s="20"/>
      <c r="C23" s="20" t="s">
        <v>184</v>
      </c>
      <c r="D23" s="20"/>
      <c r="E23" s="24">
        <v>1.4500000000000001E-2</v>
      </c>
      <c r="F23" s="24"/>
      <c r="G23" s="24"/>
      <c r="H23" s="22">
        <f>H20*E23</f>
        <v>679.32500000000005</v>
      </c>
      <c r="I23" s="23">
        <f>H23*I19</f>
        <v>0</v>
      </c>
      <c r="J23" s="20"/>
      <c r="O23" t="s">
        <v>160</v>
      </c>
      <c r="Q23" s="25">
        <f>I83</f>
        <v>9999.6</v>
      </c>
      <c r="R23" s="25">
        <f>K85</f>
        <v>764.96940000000006</v>
      </c>
      <c r="S23" s="25">
        <f>I89</f>
        <v>333.98664000000008</v>
      </c>
      <c r="T23" s="27">
        <v>0</v>
      </c>
      <c r="W23" s="2">
        <f t="shared" si="0"/>
        <v>11098.556039999999</v>
      </c>
    </row>
    <row r="24" spans="2:23">
      <c r="B24" s="20"/>
      <c r="C24" s="20" t="s">
        <v>136</v>
      </c>
      <c r="D24" s="20"/>
      <c r="E24" s="24">
        <v>6.2E-2</v>
      </c>
      <c r="F24" s="24"/>
      <c r="G24" s="24"/>
      <c r="H24" s="22">
        <f>H20*E24</f>
        <v>2904.7</v>
      </c>
      <c r="I24" s="23">
        <v>434</v>
      </c>
      <c r="J24" s="20" t="s">
        <v>178</v>
      </c>
      <c r="Q24" s="2">
        <f>SUM(Q14:Q23)</f>
        <v>400058.6</v>
      </c>
      <c r="R24" s="2">
        <f>SUM(R14:R23)</f>
        <v>35894.477899999998</v>
      </c>
      <c r="S24" s="2">
        <f>SUM(S14:S23)</f>
        <v>19009.252619999999</v>
      </c>
      <c r="T24" s="2">
        <f>SUM(T14:T23)</f>
        <v>23352</v>
      </c>
      <c r="V24" s="2">
        <f>Q24+R24+T24</f>
        <v>459305.07789999997</v>
      </c>
    </row>
    <row r="25" spans="2:23">
      <c r="B25" s="20"/>
      <c r="C25" s="20"/>
      <c r="D25" s="20"/>
      <c r="E25" s="24"/>
      <c r="F25" s="24"/>
      <c r="G25" s="24"/>
      <c r="H25" s="22"/>
      <c r="I25" s="20"/>
      <c r="J25" s="20"/>
    </row>
    <row r="26" spans="2:23">
      <c r="B26" s="20"/>
      <c r="C26" s="20" t="s">
        <v>260</v>
      </c>
      <c r="D26" s="20"/>
      <c r="E26" s="24">
        <v>5.0100000000000006E-2</v>
      </c>
      <c r="F26" s="24"/>
      <c r="G26" s="24"/>
      <c r="H26" s="22">
        <f>(D20*F20)*E26</f>
        <v>2347.1850000000004</v>
      </c>
      <c r="I26" s="30">
        <f>H26*I19</f>
        <v>0</v>
      </c>
      <c r="J26" s="20"/>
    </row>
    <row r="27" spans="2:23">
      <c r="B27" s="20"/>
      <c r="C27" s="20"/>
      <c r="D27" s="20"/>
      <c r="E27" s="24"/>
      <c r="F27" s="24"/>
      <c r="G27" s="24"/>
      <c r="H27" s="22"/>
      <c r="I27" s="20"/>
      <c r="J27" s="20"/>
      <c r="O27" t="s">
        <v>254</v>
      </c>
      <c r="P27" t="s">
        <v>186</v>
      </c>
      <c r="Q27">
        <f>100*365</f>
        <v>36500</v>
      </c>
    </row>
    <row r="28" spans="2:23">
      <c r="B28" s="20"/>
      <c r="C28" s="20" t="s">
        <v>183</v>
      </c>
      <c r="D28" s="20"/>
      <c r="E28" s="30">
        <v>265</v>
      </c>
      <c r="F28" s="24" t="s">
        <v>128</v>
      </c>
      <c r="G28" s="24"/>
      <c r="H28" s="22">
        <v>0</v>
      </c>
      <c r="I28" s="20">
        <v>3180</v>
      </c>
      <c r="J28" s="20"/>
      <c r="O28" t="s">
        <v>252</v>
      </c>
      <c r="P28" t="s">
        <v>181</v>
      </c>
    </row>
    <row r="29" spans="2:23">
      <c r="B29" s="20"/>
      <c r="C29" s="20"/>
      <c r="D29" s="20"/>
      <c r="E29" s="20"/>
      <c r="F29" s="20"/>
      <c r="G29" s="20"/>
      <c r="H29" s="22" t="s">
        <v>1</v>
      </c>
      <c r="I29" s="20"/>
      <c r="J29" s="20"/>
      <c r="O29" t="s">
        <v>19</v>
      </c>
      <c r="P29" t="s">
        <v>162</v>
      </c>
      <c r="S29">
        <f>7*288.73</f>
        <v>2021.1100000000001</v>
      </c>
    </row>
    <row r="30" spans="2:23">
      <c r="B30" s="20"/>
      <c r="C30" s="20" t="s">
        <v>157</v>
      </c>
      <c r="D30" s="20"/>
      <c r="E30" s="20"/>
      <c r="F30" s="20"/>
      <c r="G30" s="20"/>
      <c r="H30" s="28"/>
      <c r="I30" s="29"/>
      <c r="J30" s="20"/>
    </row>
    <row r="31" spans="2:23">
      <c r="B31" s="20"/>
      <c r="C31" s="20"/>
      <c r="D31" s="20"/>
      <c r="E31" s="20"/>
      <c r="F31" s="20"/>
      <c r="G31" s="20"/>
      <c r="H31" s="22">
        <f>SUM(H20:H29)</f>
        <v>55685.909999999989</v>
      </c>
      <c r="I31" s="22">
        <f>SUM(I20:I29)</f>
        <v>3614</v>
      </c>
      <c r="J31" s="20"/>
    </row>
    <row r="32" spans="2:23">
      <c r="B32" s="20"/>
      <c r="C32" s="20"/>
      <c r="D32" s="20"/>
      <c r="E32" s="20"/>
      <c r="F32" s="20"/>
      <c r="G32" s="20"/>
      <c r="H32" s="22"/>
      <c r="I32" s="22"/>
      <c r="J32" s="20"/>
      <c r="S32" s="2">
        <f>S24+S29</f>
        <v>21030.36262</v>
      </c>
    </row>
    <row r="33" spans="2:23">
      <c r="B33" s="20"/>
      <c r="C33" s="20"/>
      <c r="D33" s="20" t="s">
        <v>217</v>
      </c>
      <c r="E33" s="20"/>
      <c r="F33" s="20"/>
      <c r="G33" s="20"/>
      <c r="H33" s="22"/>
      <c r="I33" s="22"/>
      <c r="J33" s="20"/>
    </row>
    <row r="34" spans="2:23">
      <c r="B34" s="20" t="s">
        <v>141</v>
      </c>
      <c r="C34" s="20"/>
      <c r="D34" s="20" t="s">
        <v>205</v>
      </c>
      <c r="E34" s="20"/>
      <c r="F34" s="20" t="s">
        <v>248</v>
      </c>
      <c r="G34" s="20" t="s">
        <v>199</v>
      </c>
      <c r="H34" s="20"/>
      <c r="I34" s="20" t="s">
        <v>126</v>
      </c>
      <c r="J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2:23">
      <c r="B35" s="20" t="s">
        <v>161</v>
      </c>
      <c r="C35" s="20"/>
      <c r="D35" s="20" t="s">
        <v>209</v>
      </c>
      <c r="E35" s="20" t="s">
        <v>198</v>
      </c>
      <c r="F35" s="20" t="s">
        <v>263</v>
      </c>
      <c r="G35" s="20" t="s">
        <v>172</v>
      </c>
      <c r="H35" s="20"/>
      <c r="I35" s="20">
        <v>1</v>
      </c>
      <c r="J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2:23">
      <c r="B36" s="20" t="s">
        <v>148</v>
      </c>
      <c r="C36" s="20"/>
      <c r="D36" s="21">
        <v>17.28</v>
      </c>
      <c r="E36" s="20">
        <f>D36/2</f>
        <v>8.64</v>
      </c>
      <c r="F36" s="20">
        <v>2928</v>
      </c>
      <c r="G36" s="20">
        <v>384</v>
      </c>
      <c r="H36" s="22">
        <f>(D36*F36)+(E36*G36)</f>
        <v>53913.600000000006</v>
      </c>
      <c r="I36" s="31">
        <f>H36*I35</f>
        <v>53913.600000000006</v>
      </c>
      <c r="J36" s="20"/>
      <c r="K36" t="s">
        <v>255</v>
      </c>
      <c r="M36" s="20"/>
      <c r="N36" s="20"/>
      <c r="O36" s="20"/>
      <c r="P36" s="20"/>
      <c r="Q36" s="20"/>
      <c r="R36" s="20"/>
      <c r="S36" s="20"/>
      <c r="T36" s="22"/>
      <c r="U36" s="31"/>
      <c r="V36" s="20"/>
    </row>
    <row r="37" spans="2:23">
      <c r="B37" s="20"/>
      <c r="C37" s="20"/>
      <c r="D37" s="20" t="s">
        <v>171</v>
      </c>
      <c r="E37" s="20"/>
      <c r="F37" s="20">
        <v>0</v>
      </c>
      <c r="G37" s="20">
        <v>0</v>
      </c>
      <c r="H37" s="22">
        <f>F37*G37</f>
        <v>0</v>
      </c>
      <c r="I37" s="23">
        <f>H37*I35</f>
        <v>0</v>
      </c>
      <c r="J37" s="20"/>
      <c r="K37" s="25">
        <f>I37+I36</f>
        <v>53913.600000000006</v>
      </c>
      <c r="M37" s="20"/>
      <c r="N37" s="20"/>
      <c r="O37" s="20"/>
      <c r="P37" s="20"/>
      <c r="Q37" s="20"/>
      <c r="R37" s="20"/>
      <c r="S37" s="20"/>
      <c r="T37" s="22"/>
      <c r="U37" s="23"/>
      <c r="V37" s="20"/>
      <c r="W37" s="25"/>
    </row>
    <row r="38" spans="2:23">
      <c r="B38" s="20"/>
      <c r="C38" s="20" t="s">
        <v>214</v>
      </c>
      <c r="D38" s="20"/>
      <c r="E38" s="24">
        <v>6.2E-2</v>
      </c>
      <c r="F38" s="24"/>
      <c r="G38" s="24"/>
      <c r="H38" s="22">
        <f>(H36+H37)*E38</f>
        <v>3342.6432000000004</v>
      </c>
      <c r="I38" s="23">
        <f>I35*H38</f>
        <v>3342.6432000000004</v>
      </c>
      <c r="J38" s="20"/>
      <c r="K38" t="s">
        <v>242</v>
      </c>
      <c r="M38" s="20"/>
      <c r="N38" s="20"/>
      <c r="O38" s="20"/>
      <c r="P38" s="24"/>
      <c r="Q38" s="24"/>
      <c r="R38" s="24"/>
      <c r="S38" s="24"/>
      <c r="T38" s="22"/>
      <c r="U38" s="23"/>
      <c r="V38" s="20"/>
    </row>
    <row r="39" spans="2:23">
      <c r="B39" s="20"/>
      <c r="C39" s="20" t="s">
        <v>184</v>
      </c>
      <c r="D39" s="20"/>
      <c r="E39" s="24">
        <v>1.4500000000000001E-2</v>
      </c>
      <c r="F39" s="24"/>
      <c r="G39" s="24"/>
      <c r="H39" s="22">
        <f>(H36+H37)*E39</f>
        <v>781.74720000000013</v>
      </c>
      <c r="I39" s="23">
        <f>H39*I35</f>
        <v>781.74720000000013</v>
      </c>
      <c r="J39" s="20"/>
      <c r="K39" s="25">
        <f>I38+I39+I40</f>
        <v>4558.3904000000002</v>
      </c>
      <c r="M39" s="20"/>
      <c r="N39" s="20"/>
      <c r="O39" s="20"/>
      <c r="P39" s="24"/>
      <c r="Q39" s="24"/>
      <c r="R39" s="24"/>
      <c r="S39" s="24"/>
      <c r="T39" s="22"/>
      <c r="U39" s="23"/>
      <c r="V39" s="20"/>
      <c r="W39" s="25"/>
    </row>
    <row r="40" spans="2:23">
      <c r="B40" s="20"/>
      <c r="C40" s="20" t="s">
        <v>136</v>
      </c>
      <c r="D40" s="20"/>
      <c r="E40" s="24">
        <v>6.2E-2</v>
      </c>
      <c r="F40" s="24"/>
      <c r="G40" s="24"/>
      <c r="H40" s="22">
        <v>434</v>
      </c>
      <c r="I40" s="23">
        <f>H40*I35</f>
        <v>434</v>
      </c>
      <c r="J40" s="20" t="s">
        <v>178</v>
      </c>
      <c r="M40" s="20"/>
      <c r="N40" s="20"/>
      <c r="O40" s="20"/>
      <c r="P40" s="24"/>
      <c r="Q40" s="24"/>
      <c r="R40" s="24"/>
      <c r="S40" s="24"/>
      <c r="T40" s="22"/>
      <c r="U40" s="23"/>
      <c r="V40" s="20"/>
    </row>
    <row r="41" spans="2:23">
      <c r="B41" s="20"/>
      <c r="C41" s="20"/>
      <c r="D41" s="20"/>
      <c r="E41" s="24"/>
      <c r="F41" s="24"/>
      <c r="G41" s="24"/>
      <c r="H41" s="22"/>
      <c r="I41" s="20"/>
      <c r="J41" s="20"/>
      <c r="M41" s="20"/>
      <c r="N41" s="20"/>
      <c r="O41" s="20"/>
      <c r="P41" s="24"/>
      <c r="Q41" s="24"/>
      <c r="R41" s="24"/>
      <c r="S41" s="24"/>
      <c r="T41" s="22"/>
      <c r="U41" s="20"/>
      <c r="V41" s="20"/>
    </row>
    <row r="42" spans="2:23">
      <c r="B42" s="20"/>
      <c r="C42" s="20" t="s">
        <v>260</v>
      </c>
      <c r="D42" s="20"/>
      <c r="E42" s="24">
        <v>5.0100000000000006E-2</v>
      </c>
      <c r="F42" s="24"/>
      <c r="G42" s="24"/>
      <c r="H42" s="22">
        <f>((D36*F36)+H37)*E42</f>
        <v>2534.8515840000005</v>
      </c>
      <c r="I42" s="26">
        <f>H42*I35</f>
        <v>2534.8515840000005</v>
      </c>
      <c r="J42" s="20"/>
      <c r="M42" s="20"/>
      <c r="N42" s="20"/>
      <c r="O42" s="20"/>
      <c r="P42" s="24"/>
      <c r="Q42" s="24"/>
      <c r="R42" s="24"/>
      <c r="S42" s="24"/>
      <c r="T42" s="22"/>
      <c r="U42" s="26"/>
      <c r="V42" s="20"/>
    </row>
    <row r="43" spans="2:23">
      <c r="B43" s="20"/>
      <c r="C43" s="20"/>
      <c r="D43" s="20"/>
      <c r="E43" s="24"/>
      <c r="F43" s="24"/>
      <c r="G43" s="24"/>
      <c r="H43" s="22"/>
      <c r="I43" s="20"/>
      <c r="J43" s="20"/>
      <c r="M43" s="20"/>
      <c r="N43" s="20"/>
      <c r="O43" s="20"/>
      <c r="P43" s="24"/>
      <c r="Q43" s="24"/>
      <c r="R43" s="24"/>
      <c r="S43" s="24"/>
      <c r="T43" s="22"/>
      <c r="U43" s="20"/>
      <c r="V43" s="20"/>
    </row>
    <row r="44" spans="2:23">
      <c r="B44" s="20"/>
      <c r="C44" s="20" t="s">
        <v>183</v>
      </c>
      <c r="D44" s="20"/>
      <c r="E44" s="30">
        <v>265</v>
      </c>
      <c r="F44" s="24" t="s">
        <v>191</v>
      </c>
      <c r="G44" s="24"/>
      <c r="H44" s="22">
        <f>E44*12</f>
        <v>3180</v>
      </c>
      <c r="I44" s="20">
        <f>H44*I35</f>
        <v>3180</v>
      </c>
      <c r="J44" s="20"/>
      <c r="M44" s="20"/>
      <c r="N44" s="20"/>
      <c r="O44" s="20"/>
      <c r="P44" s="30"/>
      <c r="Q44" s="24"/>
      <c r="R44" s="24"/>
      <c r="S44" s="24"/>
      <c r="T44" s="22"/>
      <c r="U44" s="20"/>
      <c r="V44" s="20"/>
    </row>
    <row r="45" spans="2:23">
      <c r="B45" s="20"/>
      <c r="C45" s="20"/>
      <c r="D45" s="20"/>
      <c r="E45" s="20"/>
      <c r="F45" s="20"/>
      <c r="G45" s="20"/>
      <c r="H45" s="22" t="s">
        <v>1</v>
      </c>
      <c r="I45" s="20"/>
      <c r="J45" s="20"/>
      <c r="M45" s="20"/>
      <c r="N45" s="20"/>
      <c r="O45" s="20"/>
      <c r="P45" s="20"/>
      <c r="Q45" s="20"/>
      <c r="R45" s="20"/>
      <c r="S45" s="20"/>
      <c r="T45" s="22"/>
      <c r="U45" s="20"/>
      <c r="V45" s="20"/>
    </row>
    <row r="46" spans="2:23">
      <c r="B46" s="20"/>
      <c r="C46" s="20" t="s">
        <v>158</v>
      </c>
      <c r="D46" s="20"/>
      <c r="E46" s="20"/>
      <c r="F46" s="20"/>
      <c r="G46" s="20"/>
      <c r="H46" s="28"/>
      <c r="I46" s="29"/>
      <c r="J46" s="20"/>
      <c r="M46" s="20"/>
      <c r="N46" s="20"/>
      <c r="O46" s="20"/>
      <c r="P46" s="20"/>
      <c r="Q46" s="20"/>
      <c r="R46" s="20"/>
      <c r="S46" s="20"/>
      <c r="T46" s="28"/>
      <c r="U46" s="29"/>
      <c r="V46" s="20"/>
    </row>
    <row r="47" spans="2:23">
      <c r="B47" s="20"/>
      <c r="C47" s="20"/>
      <c r="D47" s="20"/>
      <c r="E47" s="20"/>
      <c r="F47" s="20"/>
      <c r="G47" s="20"/>
      <c r="H47" s="22">
        <f>SUM(H36:H45)</f>
        <v>64186.841984000006</v>
      </c>
      <c r="I47" s="32">
        <f>SUM(I36:I45)</f>
        <v>64186.841984000006</v>
      </c>
      <c r="J47" s="20"/>
      <c r="M47" s="20"/>
      <c r="N47" s="20"/>
      <c r="O47" s="20"/>
      <c r="P47" s="20"/>
      <c r="Q47" s="20"/>
      <c r="R47" s="20"/>
      <c r="S47" s="20"/>
      <c r="T47" s="22"/>
      <c r="U47" s="32"/>
      <c r="V47" s="20"/>
    </row>
    <row r="48" spans="2:23">
      <c r="B48" s="20"/>
      <c r="C48" s="20"/>
      <c r="D48" s="20"/>
      <c r="E48" s="20"/>
      <c r="F48" s="20"/>
      <c r="G48" s="20"/>
      <c r="H48" s="22"/>
      <c r="I48" s="22"/>
      <c r="J48" s="20"/>
      <c r="M48" s="20"/>
      <c r="N48" s="20"/>
      <c r="O48" s="20"/>
      <c r="P48" s="20"/>
      <c r="Q48" s="20"/>
      <c r="R48" s="20"/>
      <c r="S48" s="20"/>
      <c r="T48" s="22"/>
      <c r="U48" s="22"/>
      <c r="V48" s="20"/>
    </row>
    <row r="49" spans="2:11">
      <c r="B49" s="20"/>
      <c r="C49" s="20"/>
      <c r="D49" s="20" t="s">
        <v>219</v>
      </c>
      <c r="E49" s="20"/>
      <c r="F49" s="20"/>
      <c r="G49" s="20"/>
      <c r="H49" s="22"/>
      <c r="I49" s="22"/>
      <c r="J49" s="20"/>
    </row>
    <row r="50" spans="2:11">
      <c r="B50" s="20"/>
      <c r="C50" s="20"/>
      <c r="D50" s="20" t="s">
        <v>205</v>
      </c>
      <c r="E50" s="20"/>
      <c r="F50" s="20" t="s">
        <v>248</v>
      </c>
      <c r="G50" s="20" t="s">
        <v>199</v>
      </c>
      <c r="H50" s="20"/>
      <c r="I50" s="20" t="s">
        <v>126</v>
      </c>
      <c r="J50" s="20"/>
    </row>
    <row r="51" spans="2:11">
      <c r="B51" s="20" t="s">
        <v>161</v>
      </c>
      <c r="C51" s="20"/>
      <c r="D51" s="20" t="s">
        <v>209</v>
      </c>
      <c r="E51" s="20" t="s">
        <v>198</v>
      </c>
      <c r="F51" s="20" t="s">
        <v>263</v>
      </c>
      <c r="G51" s="20" t="s">
        <v>172</v>
      </c>
      <c r="H51" s="20"/>
      <c r="I51" s="20">
        <v>1</v>
      </c>
      <c r="J51" s="20"/>
    </row>
    <row r="52" spans="2:11">
      <c r="B52" s="20" t="s">
        <v>148</v>
      </c>
      <c r="C52" s="20"/>
      <c r="D52" s="21">
        <v>15.65</v>
      </c>
      <c r="E52" s="20">
        <f>D52/2</f>
        <v>7.8250000000000002</v>
      </c>
      <c r="F52" s="21">
        <v>2928</v>
      </c>
      <c r="G52" s="21">
        <v>384</v>
      </c>
      <c r="H52" s="22">
        <f>(D52*F52)+(E52*G52)</f>
        <v>48828.000000000007</v>
      </c>
      <c r="I52" s="31">
        <f>I51*H52</f>
        <v>48828.000000000007</v>
      </c>
      <c r="J52" s="20"/>
    </row>
    <row r="53" spans="2:11">
      <c r="B53" s="20"/>
      <c r="C53" s="20"/>
      <c r="D53" s="20"/>
      <c r="E53" s="20"/>
      <c r="F53" s="20"/>
      <c r="G53" s="20"/>
      <c r="H53" s="22"/>
      <c r="I53" s="20"/>
      <c r="J53" s="23"/>
    </row>
    <row r="54" spans="2:11">
      <c r="B54" s="20"/>
      <c r="C54" s="20" t="s">
        <v>214</v>
      </c>
      <c r="D54" s="20"/>
      <c r="E54" s="24">
        <v>6.2E-2</v>
      </c>
      <c r="F54" s="24"/>
      <c r="G54" s="24"/>
      <c r="H54" s="22">
        <f>H52*E54</f>
        <v>3027.3360000000002</v>
      </c>
      <c r="I54" s="23">
        <f>I51*H54</f>
        <v>3027.3360000000002</v>
      </c>
      <c r="J54" s="20"/>
      <c r="K54" t="s">
        <v>242</v>
      </c>
    </row>
    <row r="55" spans="2:11">
      <c r="B55" s="20"/>
      <c r="C55" s="20" t="s">
        <v>184</v>
      </c>
      <c r="D55" s="20"/>
      <c r="E55" s="24">
        <v>1.4500000000000001E-2</v>
      </c>
      <c r="F55" s="24"/>
      <c r="G55" s="24"/>
      <c r="H55" s="22">
        <f>H52*E55</f>
        <v>708.00600000000009</v>
      </c>
      <c r="I55" s="23">
        <f>H55*I51</f>
        <v>708.00600000000009</v>
      </c>
      <c r="J55" s="20"/>
      <c r="K55" s="25">
        <f>I54+I56+I55</f>
        <v>4169.3420000000006</v>
      </c>
    </row>
    <row r="56" spans="2:11">
      <c r="B56" s="20"/>
      <c r="C56" s="20" t="s">
        <v>136</v>
      </c>
      <c r="D56" s="20"/>
      <c r="E56" s="24">
        <v>6.2E-2</v>
      </c>
      <c r="F56" s="24"/>
      <c r="G56" s="24"/>
      <c r="H56" s="22">
        <v>434</v>
      </c>
      <c r="I56" s="23">
        <f>H56*I51</f>
        <v>434</v>
      </c>
      <c r="J56" s="20" t="s">
        <v>178</v>
      </c>
    </row>
    <row r="57" spans="2:11">
      <c r="B57" s="20"/>
      <c r="C57" s="20"/>
      <c r="D57" s="20"/>
      <c r="E57" s="24"/>
      <c r="F57" s="24"/>
      <c r="G57" s="24"/>
      <c r="H57" s="22"/>
      <c r="I57" s="20"/>
      <c r="J57" s="20"/>
    </row>
    <row r="58" spans="2:11">
      <c r="B58" s="20"/>
      <c r="C58" s="20" t="s">
        <v>260</v>
      </c>
      <c r="D58" s="20"/>
      <c r="E58" s="24">
        <v>5.0100000000000006E-2</v>
      </c>
      <c r="F58" s="24"/>
      <c r="G58" s="24"/>
      <c r="H58" s="22">
        <f>(D52*F52)*E58</f>
        <v>2295.7423200000003</v>
      </c>
      <c r="I58" s="26">
        <f>H58*I51</f>
        <v>2295.7423200000003</v>
      </c>
      <c r="J58" s="20"/>
    </row>
    <row r="59" spans="2:11">
      <c r="B59" s="20"/>
      <c r="C59" s="20"/>
      <c r="D59" s="20"/>
      <c r="E59" s="24"/>
      <c r="F59" s="24"/>
      <c r="G59" s="24"/>
      <c r="H59" s="22"/>
      <c r="I59" s="20"/>
      <c r="J59" s="20"/>
    </row>
    <row r="60" spans="2:11">
      <c r="B60" s="20"/>
      <c r="C60" s="20" t="s">
        <v>183</v>
      </c>
      <c r="D60" s="20"/>
      <c r="E60" s="30">
        <v>265</v>
      </c>
      <c r="F60" s="24" t="s">
        <v>191</v>
      </c>
      <c r="G60" s="24"/>
      <c r="H60" s="22">
        <f>E60*12</f>
        <v>3180</v>
      </c>
      <c r="I60" s="20">
        <f>H60*I51</f>
        <v>3180</v>
      </c>
      <c r="J60" s="20"/>
    </row>
    <row r="61" spans="2:11">
      <c r="B61" s="20"/>
      <c r="C61" s="20"/>
      <c r="D61" s="20"/>
      <c r="E61" s="20"/>
      <c r="F61" s="20"/>
      <c r="G61" s="20"/>
      <c r="H61" s="22" t="s">
        <v>1</v>
      </c>
      <c r="I61" s="20"/>
      <c r="J61" s="20"/>
    </row>
    <row r="62" spans="2:11">
      <c r="B62" s="20"/>
      <c r="C62" s="20" t="s">
        <v>157</v>
      </c>
      <c r="D62" s="20"/>
      <c r="E62" s="20"/>
      <c r="F62" s="20"/>
      <c r="G62" s="20"/>
      <c r="H62" s="28"/>
      <c r="I62" s="29"/>
      <c r="J62" s="20"/>
    </row>
    <row r="63" spans="2:11">
      <c r="B63" s="20"/>
      <c r="C63" s="20" t="s">
        <v>0</v>
      </c>
      <c r="D63" s="20" t="s">
        <v>0</v>
      </c>
      <c r="E63" s="20"/>
      <c r="F63" s="22" t="s">
        <v>0</v>
      </c>
      <c r="G63" s="22" t="s">
        <v>0</v>
      </c>
      <c r="H63" s="22">
        <f>SUM(H52:H61)</f>
        <v>58473.084320000009</v>
      </c>
      <c r="I63" s="32">
        <f>SUM(I52:I61)</f>
        <v>58473.084320000009</v>
      </c>
      <c r="J63" s="20"/>
    </row>
    <row r="64" spans="2:11">
      <c r="B64" s="20"/>
      <c r="C64" s="20"/>
      <c r="D64" s="20"/>
      <c r="E64" s="20"/>
      <c r="F64" s="20"/>
      <c r="G64" s="20"/>
      <c r="H64" s="22" t="s">
        <v>0</v>
      </c>
      <c r="I64" s="20"/>
      <c r="J64" s="20"/>
    </row>
    <row r="65" spans="2:23">
      <c r="D65" t="s">
        <v>219</v>
      </c>
    </row>
    <row r="66" spans="2:23">
      <c r="B66" s="20"/>
      <c r="C66" s="20"/>
      <c r="D66" s="20" t="s">
        <v>205</v>
      </c>
      <c r="E66" s="20"/>
      <c r="F66" s="20" t="s">
        <v>248</v>
      </c>
      <c r="G66" s="20" t="s">
        <v>199</v>
      </c>
      <c r="H66" s="20"/>
      <c r="I66" s="20" t="s">
        <v>126</v>
      </c>
      <c r="J66" s="20"/>
    </row>
    <row r="67" spans="2:23">
      <c r="B67" s="20" t="s">
        <v>200</v>
      </c>
      <c r="C67" s="20"/>
      <c r="D67" s="20" t="s">
        <v>209</v>
      </c>
      <c r="E67" s="20" t="s">
        <v>198</v>
      </c>
      <c r="F67" s="20" t="s">
        <v>263</v>
      </c>
      <c r="G67" s="20" t="s">
        <v>172</v>
      </c>
      <c r="H67" s="20"/>
      <c r="I67" s="20">
        <v>1</v>
      </c>
      <c r="J67" s="20"/>
    </row>
    <row r="68" spans="2:23">
      <c r="B68" s="20" t="s">
        <v>148</v>
      </c>
      <c r="C68" s="20"/>
      <c r="D68" s="21">
        <v>13.84</v>
      </c>
      <c r="E68" s="20">
        <f>D68/2</f>
        <v>6.92</v>
      </c>
      <c r="F68" s="20">
        <v>2928</v>
      </c>
      <c r="G68" s="20">
        <v>384</v>
      </c>
      <c r="H68" s="22">
        <f>(D68*F68)+(E68*G68)</f>
        <v>43180.799999999996</v>
      </c>
      <c r="I68" s="31">
        <f>H68*I67</f>
        <v>43180.799999999996</v>
      </c>
      <c r="J68" s="20"/>
      <c r="K68" t="s">
        <v>255</v>
      </c>
    </row>
    <row r="69" spans="2:23">
      <c r="B69" s="20"/>
      <c r="C69" s="20"/>
      <c r="D69" s="20" t="s">
        <v>171</v>
      </c>
      <c r="E69" s="20"/>
      <c r="F69" s="20">
        <v>122</v>
      </c>
      <c r="G69" s="20">
        <v>25</v>
      </c>
      <c r="H69" s="22">
        <f>F69*G69</f>
        <v>3050</v>
      </c>
      <c r="I69" s="23">
        <f>H69*I67</f>
        <v>3050</v>
      </c>
      <c r="J69" s="20"/>
      <c r="K69" s="33">
        <f>I69+I68</f>
        <v>46230.799999999996</v>
      </c>
      <c r="R69">
        <f>R67/72</f>
        <v>0</v>
      </c>
    </row>
    <row r="70" spans="2:23">
      <c r="B70" s="20"/>
      <c r="C70" s="20" t="s">
        <v>214</v>
      </c>
      <c r="D70" s="20"/>
      <c r="E70" s="24">
        <v>6.2E-2</v>
      </c>
      <c r="F70" s="24"/>
      <c r="G70" s="24"/>
      <c r="H70" s="22">
        <f>(H68+H69)*E70</f>
        <v>2866.3095999999996</v>
      </c>
      <c r="I70" s="23">
        <f>I67*H70</f>
        <v>2866.3095999999996</v>
      </c>
      <c r="J70" s="20"/>
      <c r="K70" t="s">
        <v>242</v>
      </c>
    </row>
    <row r="71" spans="2:23">
      <c r="B71" s="20"/>
      <c r="C71" s="20" t="s">
        <v>184</v>
      </c>
      <c r="D71" s="20"/>
      <c r="E71" s="24">
        <v>1.4500000000000001E-2</v>
      </c>
      <c r="F71" s="24"/>
      <c r="G71" s="24"/>
      <c r="H71" s="22">
        <f>(H68+H69)*E71</f>
        <v>670.34659999999997</v>
      </c>
      <c r="I71" s="23">
        <f>H71*I67</f>
        <v>670.34659999999997</v>
      </c>
      <c r="J71" s="20"/>
      <c r="K71" s="25">
        <f>I70+I71+I72</f>
        <v>3970.6561999999994</v>
      </c>
    </row>
    <row r="72" spans="2:23">
      <c r="B72" s="20"/>
      <c r="C72" s="20" t="s">
        <v>136</v>
      </c>
      <c r="D72" s="20"/>
      <c r="E72" s="24">
        <v>6.2E-2</v>
      </c>
      <c r="F72" s="24"/>
      <c r="G72" s="24"/>
      <c r="H72" s="22">
        <v>434</v>
      </c>
      <c r="I72" s="23">
        <f>H72*I67</f>
        <v>434</v>
      </c>
      <c r="J72" s="20" t="s">
        <v>178</v>
      </c>
    </row>
    <row r="73" spans="2:23">
      <c r="B73" s="20"/>
      <c r="C73" s="20"/>
      <c r="D73" s="20"/>
      <c r="E73" s="24"/>
      <c r="F73" s="24"/>
      <c r="G73" s="24"/>
      <c r="H73" s="22"/>
      <c r="I73" s="20"/>
      <c r="J73" s="20"/>
    </row>
    <row r="74" spans="2:23">
      <c r="B74" s="20"/>
      <c r="C74" s="20" t="s">
        <v>260</v>
      </c>
      <c r="D74" s="20"/>
      <c r="E74" s="24">
        <v>5.0100000000000006E-2</v>
      </c>
      <c r="F74" s="24"/>
      <c r="G74" s="24"/>
      <c r="H74" s="22">
        <f>((D68*F68)+H69)*E74</f>
        <v>2183.0333519999999</v>
      </c>
      <c r="I74" s="26">
        <f>H74*I67</f>
        <v>2183.0333519999999</v>
      </c>
      <c r="J74" s="20"/>
    </row>
    <row r="75" spans="2:23">
      <c r="B75" s="20"/>
      <c r="C75" s="20"/>
      <c r="D75" s="20"/>
      <c r="E75" s="24"/>
      <c r="F75" s="24"/>
      <c r="G75" s="24"/>
      <c r="H75" s="22"/>
      <c r="I75" s="20"/>
      <c r="J75" s="20"/>
    </row>
    <row r="76" spans="2:23">
      <c r="B76" s="20"/>
      <c r="C76" s="20" t="s">
        <v>183</v>
      </c>
      <c r="D76" s="20"/>
      <c r="E76" s="30">
        <v>265</v>
      </c>
      <c r="F76" s="24" t="s">
        <v>191</v>
      </c>
      <c r="G76" s="24"/>
      <c r="H76" s="22">
        <f>E76*12</f>
        <v>3180</v>
      </c>
      <c r="I76" s="20">
        <f>H76*I67</f>
        <v>3180</v>
      </c>
      <c r="J76" s="20"/>
      <c r="W76" s="25">
        <f>W83+W98</f>
        <v>44950</v>
      </c>
    </row>
    <row r="77" spans="2:23">
      <c r="B77" s="20"/>
      <c r="C77" s="20"/>
      <c r="D77" s="20"/>
      <c r="E77" s="20"/>
      <c r="F77" s="20"/>
      <c r="G77" s="20"/>
      <c r="H77" s="22" t="s">
        <v>1</v>
      </c>
      <c r="I77" s="20"/>
      <c r="J77" s="20"/>
    </row>
    <row r="78" spans="2:23">
      <c r="B78" s="20"/>
      <c r="C78" s="20" t="s">
        <v>158</v>
      </c>
      <c r="D78" s="20"/>
      <c r="E78" s="20"/>
      <c r="F78" s="20"/>
      <c r="G78" s="20"/>
      <c r="H78" s="28"/>
      <c r="I78" s="29"/>
      <c r="J78" s="20"/>
    </row>
    <row r="79" spans="2:23">
      <c r="B79" s="20"/>
      <c r="C79" s="20"/>
      <c r="D79" s="20"/>
      <c r="E79" s="20"/>
      <c r="F79" s="20"/>
      <c r="G79" s="20"/>
      <c r="H79" s="22">
        <f>SUM(H68:H77)</f>
        <v>55564.489551999992</v>
      </c>
      <c r="I79" s="32">
        <f>SUM(I68:I77)</f>
        <v>55564.489551999992</v>
      </c>
      <c r="J79" s="20"/>
    </row>
    <row r="81" spans="2:25">
      <c r="B81" s="20" t="s">
        <v>159</v>
      </c>
      <c r="C81" s="20"/>
      <c r="D81" s="20" t="s">
        <v>205</v>
      </c>
      <c r="E81" s="20"/>
      <c r="F81" s="20" t="s">
        <v>248</v>
      </c>
      <c r="G81" s="20" t="s">
        <v>199</v>
      </c>
      <c r="H81" s="20"/>
      <c r="I81" s="20" t="s">
        <v>125</v>
      </c>
      <c r="J81" s="20"/>
      <c r="O81" s="20" t="s">
        <v>155</v>
      </c>
      <c r="P81" s="20"/>
      <c r="Q81" s="20" t="s">
        <v>205</v>
      </c>
      <c r="R81" s="20"/>
      <c r="S81" s="20"/>
      <c r="T81" s="20" t="s">
        <v>248</v>
      </c>
      <c r="U81" s="20" t="s">
        <v>199</v>
      </c>
      <c r="V81" s="20"/>
      <c r="W81" s="20" t="s">
        <v>125</v>
      </c>
      <c r="X81" s="20"/>
    </row>
    <row r="82" spans="2:25">
      <c r="B82" s="20" t="s">
        <v>151</v>
      </c>
      <c r="C82" s="20"/>
      <c r="D82" s="20" t="s">
        <v>209</v>
      </c>
      <c r="E82" s="20" t="s">
        <v>198</v>
      </c>
      <c r="F82" s="20" t="s">
        <v>263</v>
      </c>
      <c r="G82" s="20" t="s">
        <v>172</v>
      </c>
      <c r="H82" s="20"/>
      <c r="I82" s="20">
        <v>52</v>
      </c>
      <c r="J82" s="20"/>
      <c r="O82" s="20" t="s">
        <v>151</v>
      </c>
      <c r="P82" s="20"/>
      <c r="Q82" s="20" t="s">
        <v>209</v>
      </c>
      <c r="R82" s="20" t="s">
        <v>198</v>
      </c>
      <c r="S82" s="20"/>
      <c r="T82" s="20" t="s">
        <v>263</v>
      </c>
      <c r="U82" s="20" t="s">
        <v>172</v>
      </c>
      <c r="V82" s="20"/>
      <c r="W82" s="20">
        <v>196</v>
      </c>
      <c r="X82" s="20"/>
    </row>
    <row r="83" spans="2:25">
      <c r="B83" s="20" t="s">
        <v>148</v>
      </c>
      <c r="C83" s="20"/>
      <c r="D83" s="21">
        <v>16.025000000000002</v>
      </c>
      <c r="E83" s="20">
        <f>D83/2</f>
        <v>8.0125000000000011</v>
      </c>
      <c r="F83" s="21">
        <v>8</v>
      </c>
      <c r="G83" s="21">
        <v>8</v>
      </c>
      <c r="H83" s="22">
        <f>(D83*F83)+(E83*G83)</f>
        <v>192.3</v>
      </c>
      <c r="I83" s="23">
        <f>I82*H83</f>
        <v>9999.6</v>
      </c>
      <c r="J83" s="20"/>
      <c r="O83" s="20" t="s">
        <v>148</v>
      </c>
      <c r="P83" s="20"/>
      <c r="Q83" s="21">
        <v>100</v>
      </c>
      <c r="R83" s="20"/>
      <c r="S83" s="20"/>
      <c r="T83" s="21">
        <v>1</v>
      </c>
      <c r="U83" s="21">
        <v>8</v>
      </c>
      <c r="V83" s="22">
        <f>(Q83*T83)+(R83*U83)</f>
        <v>100</v>
      </c>
      <c r="W83" s="23">
        <f>W82*V83</f>
        <v>19600</v>
      </c>
      <c r="X83" s="20"/>
    </row>
    <row r="84" spans="2:25">
      <c r="B84" s="20"/>
      <c r="C84" s="20"/>
      <c r="D84" s="20"/>
      <c r="E84" s="20"/>
      <c r="F84" s="20"/>
      <c r="G84" s="20"/>
      <c r="H84" s="22"/>
      <c r="I84" s="20"/>
      <c r="J84" s="20"/>
      <c r="K84" t="s">
        <v>242</v>
      </c>
      <c r="O84" s="20"/>
      <c r="P84" s="20"/>
      <c r="Q84" s="20"/>
      <c r="R84" s="20"/>
      <c r="S84" s="20"/>
      <c r="T84" s="20"/>
      <c r="U84" s="20"/>
      <c r="V84" s="22"/>
      <c r="W84" s="20"/>
      <c r="X84" s="20"/>
      <c r="Y84" t="s">
        <v>242</v>
      </c>
    </row>
    <row r="85" spans="2:25">
      <c r="B85" s="20"/>
      <c r="C85" s="20" t="s">
        <v>214</v>
      </c>
      <c r="D85" s="20"/>
      <c r="E85" s="24">
        <v>6.2E-2</v>
      </c>
      <c r="F85" s="24"/>
      <c r="G85" s="24"/>
      <c r="H85" s="22">
        <f>H83*E85</f>
        <v>11.922600000000001</v>
      </c>
      <c r="I85" s="23">
        <f>I82*H85</f>
        <v>619.97520000000009</v>
      </c>
      <c r="J85" s="20"/>
      <c r="K85" s="25">
        <f>I85+I86+I87</f>
        <v>764.96940000000006</v>
      </c>
      <c r="O85" s="20"/>
      <c r="P85" s="20" t="s">
        <v>214</v>
      </c>
      <c r="Q85" s="20"/>
      <c r="R85" s="24">
        <v>6.2E-2</v>
      </c>
      <c r="S85" s="24"/>
      <c r="T85" s="24"/>
      <c r="U85" s="24"/>
      <c r="V85" s="22">
        <f>(V83+V84)*R85</f>
        <v>6.2</v>
      </c>
      <c r="W85" s="23">
        <f>V85*W82</f>
        <v>1215.2</v>
      </c>
      <c r="X85" s="20"/>
      <c r="Y85" s="25">
        <f>W85+W86+W89</f>
        <v>2481.36</v>
      </c>
    </row>
    <row r="86" spans="2:25">
      <c r="B86" s="20"/>
      <c r="C86" s="20" t="s">
        <v>184</v>
      </c>
      <c r="D86" s="20"/>
      <c r="E86" s="24">
        <v>1.4500000000000001E-2</v>
      </c>
      <c r="F86" s="24"/>
      <c r="G86" s="24"/>
      <c r="H86" s="22">
        <f>H83*E86</f>
        <v>2.7883500000000003</v>
      </c>
      <c r="I86" s="23">
        <f>H86*I82</f>
        <v>144.99420000000001</v>
      </c>
      <c r="J86" s="20"/>
      <c r="O86" s="20"/>
      <c r="P86" s="20" t="s">
        <v>184</v>
      </c>
      <c r="Q86" s="20"/>
      <c r="R86" s="24">
        <v>1.4500000000000001E-2</v>
      </c>
      <c r="S86" s="24"/>
      <c r="T86" s="24"/>
      <c r="U86" s="24"/>
      <c r="V86" s="22">
        <f>(V83+V84)*R86</f>
        <v>1.4500000000000002</v>
      </c>
      <c r="W86" s="23">
        <f>V86*W82</f>
        <v>284.20000000000005</v>
      </c>
      <c r="X86" s="20"/>
    </row>
    <row r="87" spans="2:25">
      <c r="B87" s="20"/>
      <c r="C87" s="20" t="s">
        <v>136</v>
      </c>
      <c r="D87" s="20"/>
      <c r="E87" s="24">
        <v>6.2E-2</v>
      </c>
      <c r="F87" s="24"/>
      <c r="G87" s="24"/>
      <c r="H87" s="22">
        <v>0</v>
      </c>
      <c r="I87" s="23">
        <f>H87*I82</f>
        <v>0</v>
      </c>
      <c r="J87" s="20" t="s">
        <v>179</v>
      </c>
      <c r="O87" s="20"/>
      <c r="P87" s="20" t="s">
        <v>136</v>
      </c>
      <c r="Q87" s="20"/>
      <c r="R87" s="24">
        <v>6.2E-2</v>
      </c>
      <c r="S87" s="24"/>
      <c r="T87" s="24"/>
      <c r="U87" s="24"/>
      <c r="V87" s="22">
        <v>0</v>
      </c>
      <c r="W87" s="23">
        <f>V87*W82</f>
        <v>0</v>
      </c>
      <c r="X87" s="20" t="s">
        <v>179</v>
      </c>
    </row>
    <row r="88" spans="2:25">
      <c r="B88" s="20"/>
      <c r="C88" s="20"/>
      <c r="D88" s="20"/>
      <c r="E88" s="24"/>
      <c r="F88" s="24"/>
      <c r="G88" s="24"/>
      <c r="H88" s="22"/>
      <c r="I88" s="20"/>
      <c r="J88" s="20"/>
      <c r="O88" s="20"/>
      <c r="P88" s="20"/>
      <c r="Q88" s="20"/>
      <c r="R88" s="24"/>
      <c r="S88" s="24"/>
      <c r="T88" s="24"/>
      <c r="U88" s="24"/>
      <c r="V88" s="22"/>
      <c r="W88" s="20"/>
      <c r="X88" s="20"/>
    </row>
    <row r="89" spans="2:25">
      <c r="B89" s="20"/>
      <c r="C89" s="20" t="s">
        <v>260</v>
      </c>
      <c r="D89" s="20"/>
      <c r="E89" s="24">
        <v>5.0100000000000006E-2</v>
      </c>
      <c r="F89" s="24"/>
      <c r="G89" s="24"/>
      <c r="H89" s="22">
        <f>(D83*F83)*E89</f>
        <v>6.4228200000000015</v>
      </c>
      <c r="I89" s="26">
        <f>H89*I82</f>
        <v>333.98664000000008</v>
      </c>
      <c r="J89" s="20"/>
      <c r="O89" s="20"/>
      <c r="P89" s="20" t="s">
        <v>260</v>
      </c>
      <c r="Q89" s="20"/>
      <c r="R89" s="24">
        <v>5.0100000000000006E-2</v>
      </c>
      <c r="S89" s="24"/>
      <c r="T89" s="24"/>
      <c r="U89" s="24"/>
      <c r="V89" s="22">
        <f>(Q83*T83)*R89</f>
        <v>5.0100000000000007</v>
      </c>
      <c r="W89" s="26">
        <f>V89*W82</f>
        <v>981.96000000000015</v>
      </c>
      <c r="X89" s="20"/>
    </row>
    <row r="90" spans="2:25">
      <c r="B90" s="20"/>
      <c r="C90" s="20"/>
      <c r="D90" s="20"/>
      <c r="E90" s="24"/>
      <c r="F90" s="24"/>
      <c r="G90" s="24"/>
      <c r="H90" s="22"/>
      <c r="I90" s="20"/>
      <c r="J90" s="20"/>
      <c r="O90" s="20"/>
      <c r="P90" s="20"/>
      <c r="Q90" s="20"/>
      <c r="R90" s="24"/>
      <c r="S90" s="24"/>
      <c r="T90" s="24"/>
      <c r="U90" s="24"/>
      <c r="V90" s="22"/>
      <c r="W90" s="20"/>
      <c r="X90" s="20"/>
    </row>
    <row r="91" spans="2:25">
      <c r="B91" s="20"/>
      <c r="C91" s="20" t="s">
        <v>183</v>
      </c>
      <c r="D91" s="20"/>
      <c r="E91" s="30" t="s">
        <v>203</v>
      </c>
      <c r="F91" s="24"/>
      <c r="G91" s="24"/>
      <c r="H91" s="22"/>
      <c r="I91" s="20"/>
      <c r="J91" s="20"/>
      <c r="O91" s="20"/>
      <c r="P91" s="20" t="s">
        <v>183</v>
      </c>
      <c r="Q91" s="20"/>
      <c r="R91" s="30" t="s">
        <v>203</v>
      </c>
      <c r="S91" s="30"/>
      <c r="T91" s="24"/>
      <c r="U91" s="24"/>
      <c r="V91" s="22"/>
      <c r="W91" s="20"/>
      <c r="X91" s="20"/>
    </row>
    <row r="92" spans="2:25">
      <c r="B92" s="20"/>
      <c r="C92" s="20"/>
      <c r="D92" s="20"/>
      <c r="E92" s="20"/>
      <c r="F92" s="20"/>
      <c r="G92" s="20"/>
      <c r="H92" s="22">
        <v>0</v>
      </c>
      <c r="I92" s="20">
        <v>0</v>
      </c>
      <c r="J92" s="20"/>
      <c r="O92" s="20"/>
      <c r="P92" s="20"/>
      <c r="Q92" s="20"/>
      <c r="R92" s="20"/>
      <c r="S92" s="20"/>
      <c r="T92" s="20"/>
      <c r="U92" s="20"/>
      <c r="V92" s="22">
        <v>0</v>
      </c>
      <c r="W92" s="20">
        <v>0</v>
      </c>
      <c r="X92" s="20"/>
    </row>
    <row r="93" spans="2:25">
      <c r="B93" s="20"/>
      <c r="C93" s="20"/>
      <c r="D93" s="20"/>
      <c r="E93" s="20"/>
      <c r="F93" s="20"/>
      <c r="G93" s="20"/>
      <c r="H93" s="28"/>
      <c r="I93" s="29"/>
      <c r="J93" s="20"/>
      <c r="O93" s="20"/>
      <c r="P93" s="20"/>
      <c r="Q93" s="20"/>
      <c r="R93" s="20"/>
      <c r="S93" s="20"/>
      <c r="T93" s="20"/>
      <c r="U93" s="20"/>
      <c r="V93" s="28"/>
      <c r="W93" s="29"/>
      <c r="X93" s="20"/>
    </row>
    <row r="94" spans="2:25">
      <c r="B94" s="20"/>
      <c r="C94" s="20"/>
      <c r="D94" s="20"/>
      <c r="E94" s="20"/>
      <c r="F94" s="20"/>
      <c r="G94" s="20"/>
      <c r="H94" s="22">
        <f>SUM(H83:H92)</f>
        <v>213.43377000000001</v>
      </c>
      <c r="I94" s="22">
        <f>SUM(I83:I92)</f>
        <v>11098.556039999999</v>
      </c>
      <c r="J94" s="20"/>
      <c r="O94" s="20"/>
      <c r="P94" s="20"/>
      <c r="Q94" s="20"/>
      <c r="R94" s="20"/>
      <c r="S94" s="20"/>
      <c r="T94" s="20"/>
      <c r="U94" s="20"/>
      <c r="V94" s="22">
        <f>SUM(V83:V92)</f>
        <v>112.66000000000001</v>
      </c>
      <c r="W94" s="22">
        <f>SUM(W83:W92)</f>
        <v>22081.360000000001</v>
      </c>
      <c r="X94" s="20"/>
    </row>
    <row r="96" spans="2:25">
      <c r="O96" s="20" t="s">
        <v>155</v>
      </c>
      <c r="P96" s="20"/>
      <c r="Q96" s="20" t="s">
        <v>205</v>
      </c>
      <c r="R96" s="20"/>
      <c r="S96" s="20"/>
      <c r="T96" s="20" t="s">
        <v>248</v>
      </c>
      <c r="U96" s="20" t="s">
        <v>199</v>
      </c>
      <c r="V96" s="20"/>
      <c r="W96" s="20" t="s">
        <v>125</v>
      </c>
    </row>
    <row r="97" spans="1:25">
      <c r="G97" t="s">
        <v>213</v>
      </c>
      <c r="H97" t="s">
        <v>15</v>
      </c>
      <c r="I97" t="s">
        <v>124</v>
      </c>
      <c r="O97" s="20" t="s">
        <v>151</v>
      </c>
      <c r="P97" s="20"/>
      <c r="Q97" s="20" t="s">
        <v>209</v>
      </c>
      <c r="R97" s="20" t="s">
        <v>198</v>
      </c>
      <c r="S97" s="20"/>
      <c r="T97" s="20" t="s">
        <v>263</v>
      </c>
      <c r="U97" s="20" t="s">
        <v>172</v>
      </c>
      <c r="V97" s="20"/>
      <c r="W97" s="20">
        <f>157+12</f>
        <v>169</v>
      </c>
    </row>
    <row r="98" spans="1:25">
      <c r="A98" s="20"/>
      <c r="B98" s="20"/>
      <c r="C98" s="20" t="s">
        <v>210</v>
      </c>
      <c r="D98" s="20"/>
      <c r="E98" s="20"/>
      <c r="F98" s="20"/>
      <c r="G98" s="20">
        <v>7</v>
      </c>
      <c r="H98" s="21">
        <v>700</v>
      </c>
      <c r="I98" s="34">
        <v>36500</v>
      </c>
      <c r="O98" s="20" t="s">
        <v>148</v>
      </c>
      <c r="P98" s="20"/>
      <c r="Q98" s="21">
        <v>150</v>
      </c>
      <c r="R98" s="20"/>
      <c r="S98" s="20"/>
      <c r="T98" s="21">
        <v>1</v>
      </c>
      <c r="U98" s="21">
        <v>0</v>
      </c>
      <c r="V98" s="22">
        <f>(Q98*T98)+(R98*U98)</f>
        <v>150</v>
      </c>
      <c r="W98" s="23">
        <f>W97*V98</f>
        <v>25350</v>
      </c>
    </row>
    <row r="99" spans="1:25">
      <c r="G99" t="s">
        <v>258</v>
      </c>
      <c r="H99">
        <v>0</v>
      </c>
      <c r="I99" s="26">
        <f>H99*52</f>
        <v>0</v>
      </c>
      <c r="O99" s="20"/>
      <c r="P99" s="20"/>
      <c r="Q99" s="20"/>
      <c r="R99" s="20"/>
      <c r="S99" s="20"/>
      <c r="T99" s="20"/>
      <c r="U99" s="20"/>
      <c r="V99" s="22"/>
      <c r="W99" s="20"/>
    </row>
    <row r="100" spans="1:25">
      <c r="A100" s="20"/>
      <c r="B100" s="20"/>
      <c r="C100" s="20" t="s">
        <v>261</v>
      </c>
      <c r="D100" s="20"/>
      <c r="E100" s="20"/>
      <c r="F100" s="20"/>
      <c r="G100" s="21">
        <v>7</v>
      </c>
      <c r="H100" s="20">
        <v>247.73000000000002</v>
      </c>
      <c r="I100" s="26">
        <f>H100*G100</f>
        <v>1734.1100000000001</v>
      </c>
      <c r="O100" s="20"/>
      <c r="P100" s="20" t="s">
        <v>214</v>
      </c>
      <c r="Q100" s="20"/>
      <c r="R100" s="24">
        <v>6.2E-2</v>
      </c>
      <c r="S100" s="24"/>
      <c r="T100" s="24"/>
      <c r="U100" s="24"/>
      <c r="V100" s="22">
        <f>(V98+V99)*R100</f>
        <v>9.3000000000000007</v>
      </c>
      <c r="W100" s="23">
        <f>V100*W97</f>
        <v>1571.7</v>
      </c>
      <c r="Y100" s="25">
        <f>W100+W101+W104</f>
        <v>3209.3100000000004</v>
      </c>
    </row>
    <row r="101" spans="1:25">
      <c r="A101" s="20"/>
      <c r="B101" s="20"/>
      <c r="C101" s="20"/>
      <c r="D101" s="20"/>
      <c r="E101" s="20"/>
      <c r="F101" s="20"/>
      <c r="G101" s="20"/>
      <c r="H101" s="20"/>
      <c r="I101" s="35"/>
      <c r="O101" s="20"/>
      <c r="P101" s="20" t="s">
        <v>184</v>
      </c>
      <c r="Q101" s="20"/>
      <c r="R101" s="24">
        <v>1.4500000000000001E-2</v>
      </c>
      <c r="S101" s="24"/>
      <c r="T101" s="24"/>
      <c r="U101" s="24"/>
      <c r="V101" s="22">
        <f>(V98+V99)*R101</f>
        <v>2.1750000000000003</v>
      </c>
      <c r="W101" s="23">
        <f>V101*W97</f>
        <v>367.57500000000005</v>
      </c>
    </row>
    <row r="102" spans="1:25">
      <c r="A102" s="20"/>
      <c r="B102" s="20"/>
      <c r="C102" s="20"/>
      <c r="D102" s="20"/>
      <c r="E102" s="20"/>
      <c r="F102" s="20"/>
      <c r="G102" s="20"/>
      <c r="H102" s="20"/>
      <c r="I102" s="26">
        <f>I100+I98</f>
        <v>38234.11</v>
      </c>
      <c r="O102" s="20"/>
      <c r="P102" s="20" t="s">
        <v>136</v>
      </c>
      <c r="Q102" s="20"/>
      <c r="R102" s="24">
        <v>6.2E-2</v>
      </c>
      <c r="S102" s="24"/>
      <c r="T102" s="24"/>
      <c r="U102" s="24"/>
      <c r="V102" s="22">
        <v>0</v>
      </c>
      <c r="W102" s="23">
        <f>V102*W97</f>
        <v>0</v>
      </c>
    </row>
    <row r="103" spans="1:25">
      <c r="A103" s="20"/>
      <c r="B103" s="20"/>
      <c r="C103" s="20"/>
      <c r="D103" s="20"/>
      <c r="E103" s="20"/>
      <c r="F103" s="20"/>
      <c r="G103" s="20"/>
      <c r="H103" s="20"/>
      <c r="I103" s="26"/>
      <c r="O103" s="20"/>
      <c r="P103" s="20"/>
      <c r="Q103" s="20"/>
      <c r="R103" s="24"/>
      <c r="S103" s="24"/>
      <c r="T103" s="24"/>
      <c r="U103" s="24"/>
      <c r="V103" s="22"/>
      <c r="W103" s="20"/>
    </row>
    <row r="104" spans="1:25">
      <c r="A104" s="20"/>
      <c r="B104" s="20"/>
      <c r="C104" s="20"/>
      <c r="D104" s="20"/>
      <c r="E104" s="20"/>
      <c r="F104" s="20"/>
      <c r="G104" s="20"/>
      <c r="H104" s="20"/>
      <c r="I104" s="26"/>
      <c r="O104" s="20"/>
      <c r="P104" s="20" t="s">
        <v>260</v>
      </c>
      <c r="Q104" s="20"/>
      <c r="R104" s="24">
        <v>5.0100000000000006E-2</v>
      </c>
      <c r="S104" s="24"/>
      <c r="T104" s="24"/>
      <c r="U104" s="24"/>
      <c r="V104" s="22">
        <f>(Q98*T98)*R104</f>
        <v>7.5150000000000006</v>
      </c>
      <c r="W104" s="26">
        <f>V104*W97</f>
        <v>1270.0350000000001</v>
      </c>
    </row>
    <row r="105" spans="1:25">
      <c r="A105" s="20"/>
      <c r="B105" s="20"/>
      <c r="C105" s="20"/>
      <c r="D105" s="20"/>
      <c r="E105" s="20"/>
      <c r="F105" s="20"/>
      <c r="G105" s="20"/>
      <c r="H105" s="20"/>
      <c r="I105" s="26"/>
      <c r="O105" s="20"/>
      <c r="P105" s="20"/>
      <c r="Q105" s="20"/>
      <c r="R105" s="24"/>
      <c r="S105" s="24"/>
      <c r="T105" s="24"/>
      <c r="U105" s="24"/>
      <c r="V105" s="22"/>
      <c r="W105" s="20"/>
    </row>
    <row r="106" spans="1:25">
      <c r="A106" s="20"/>
      <c r="B106" s="20"/>
      <c r="C106" s="20"/>
      <c r="D106" s="20"/>
      <c r="E106" s="20"/>
      <c r="F106" s="20"/>
      <c r="G106" s="20"/>
      <c r="H106" s="20"/>
      <c r="I106" s="26"/>
      <c r="O106" s="20"/>
      <c r="P106" s="20" t="s">
        <v>183</v>
      </c>
      <c r="Q106" s="20"/>
      <c r="R106" s="30" t="s">
        <v>203</v>
      </c>
      <c r="S106" s="30"/>
      <c r="T106" s="24"/>
      <c r="U106" s="24"/>
      <c r="V106" s="22"/>
      <c r="W106" s="20"/>
    </row>
    <row r="107" spans="1:25">
      <c r="A107" s="20"/>
      <c r="B107" s="20"/>
      <c r="C107" s="20"/>
      <c r="D107" s="20"/>
      <c r="E107" s="20"/>
      <c r="F107" s="20"/>
      <c r="G107" s="20"/>
      <c r="H107" s="20"/>
      <c r="I107" s="26"/>
      <c r="O107" s="20"/>
      <c r="P107" s="20"/>
      <c r="Q107" s="20"/>
      <c r="R107" s="20"/>
      <c r="S107" s="20"/>
      <c r="T107" s="20"/>
      <c r="U107" s="20"/>
      <c r="V107" s="22">
        <v>0</v>
      </c>
      <c r="W107" s="20">
        <v>0</v>
      </c>
    </row>
    <row r="108" spans="1:25">
      <c r="A108" s="20"/>
      <c r="B108" s="20"/>
      <c r="C108" s="20"/>
      <c r="D108" s="20"/>
      <c r="E108" s="20"/>
      <c r="F108" s="20"/>
      <c r="G108" s="20"/>
      <c r="H108" s="20"/>
      <c r="I108" s="26"/>
      <c r="O108" s="20"/>
      <c r="P108" s="20"/>
      <c r="Q108" s="20"/>
      <c r="R108" s="20"/>
      <c r="S108" s="20"/>
      <c r="T108" s="20"/>
      <c r="U108" s="20"/>
      <c r="V108" s="28"/>
      <c r="W108" s="29"/>
    </row>
    <row r="109" spans="1:25">
      <c r="A109" s="20"/>
      <c r="B109" s="20"/>
      <c r="C109" s="20"/>
      <c r="D109" s="20"/>
      <c r="E109" s="20"/>
      <c r="F109" s="20"/>
      <c r="G109" s="20"/>
      <c r="H109" s="20"/>
      <c r="I109" s="26"/>
      <c r="M109" s="20"/>
      <c r="N109" s="20"/>
      <c r="O109" s="20"/>
      <c r="P109" s="20"/>
      <c r="Q109" s="20"/>
      <c r="R109" s="20"/>
      <c r="S109" s="20"/>
      <c r="T109" s="20"/>
      <c r="U109" s="20"/>
      <c r="V109" s="22">
        <f>SUM(V98:V107)</f>
        <v>168.99</v>
      </c>
      <c r="W109" s="22">
        <f>SUM(W98:W107)</f>
        <v>28559.31</v>
      </c>
    </row>
    <row r="110" spans="1:25">
      <c r="A110" s="20"/>
      <c r="B110" s="20"/>
      <c r="C110" s="20"/>
      <c r="D110" s="20" t="s">
        <v>259</v>
      </c>
      <c r="E110" s="20"/>
      <c r="F110" s="20"/>
      <c r="G110" s="20"/>
      <c r="H110" s="20"/>
      <c r="I110" s="20"/>
      <c r="M110" s="20"/>
      <c r="N110" s="20"/>
      <c r="O110" s="20"/>
      <c r="P110" s="20" t="s">
        <v>259</v>
      </c>
      <c r="Q110" s="20"/>
      <c r="R110" s="20"/>
      <c r="S110" s="20"/>
      <c r="T110" s="20"/>
      <c r="U110" s="20"/>
      <c r="V110" s="20"/>
    </row>
    <row r="111" spans="1:25">
      <c r="B111" s="20" t="s">
        <v>167</v>
      </c>
      <c r="C111" s="20"/>
      <c r="D111" s="20" t="s">
        <v>205</v>
      </c>
      <c r="E111" s="20"/>
      <c r="F111" s="20" t="s">
        <v>248</v>
      </c>
      <c r="G111" s="20" t="s">
        <v>199</v>
      </c>
      <c r="H111" s="20"/>
      <c r="I111" s="20" t="s">
        <v>125</v>
      </c>
      <c r="J111" s="20"/>
      <c r="N111" s="20" t="s">
        <v>168</v>
      </c>
      <c r="O111" s="20"/>
      <c r="P111" s="20" t="s">
        <v>205</v>
      </c>
      <c r="Q111" s="20"/>
      <c r="R111" s="20" t="s">
        <v>248</v>
      </c>
      <c r="S111" s="20"/>
      <c r="T111" s="20" t="s">
        <v>199</v>
      </c>
      <c r="U111" s="20"/>
      <c r="V111" s="20" t="s">
        <v>125</v>
      </c>
      <c r="W111" s="20"/>
    </row>
    <row r="112" spans="1:25">
      <c r="B112" s="20"/>
      <c r="C112" s="20"/>
      <c r="D112" s="20" t="s">
        <v>209</v>
      </c>
      <c r="E112" s="20" t="s">
        <v>198</v>
      </c>
      <c r="F112" s="20" t="s">
        <v>263</v>
      </c>
      <c r="G112" s="20" t="s">
        <v>172</v>
      </c>
      <c r="H112" s="20"/>
      <c r="I112" s="20">
        <v>52</v>
      </c>
      <c r="J112" s="20"/>
      <c r="N112" s="20"/>
      <c r="O112" s="20"/>
      <c r="P112" s="20" t="s">
        <v>209</v>
      </c>
      <c r="Q112" s="20" t="s">
        <v>198</v>
      </c>
      <c r="R112" s="20" t="s">
        <v>263</v>
      </c>
      <c r="S112" s="20"/>
      <c r="T112" s="20" t="s">
        <v>172</v>
      </c>
      <c r="U112" s="20"/>
      <c r="V112" s="20">
        <v>52</v>
      </c>
      <c r="W112" s="20"/>
    </row>
    <row r="113" spans="2:24">
      <c r="B113" s="20" t="s">
        <v>148</v>
      </c>
      <c r="C113" s="20"/>
      <c r="D113" s="21">
        <v>21</v>
      </c>
      <c r="E113" s="20">
        <f>D113/2</f>
        <v>10.5</v>
      </c>
      <c r="F113" s="21">
        <v>20</v>
      </c>
      <c r="G113" s="21">
        <v>0</v>
      </c>
      <c r="H113" s="22">
        <f>(D113*F113)+(E113*G113)</f>
        <v>420</v>
      </c>
      <c r="I113" s="23">
        <f>I112*H113</f>
        <v>21840</v>
      </c>
      <c r="J113" s="20"/>
      <c r="N113" s="20" t="s">
        <v>149</v>
      </c>
      <c r="O113" s="20"/>
      <c r="P113" s="21">
        <v>25</v>
      </c>
      <c r="Q113" s="20">
        <f>P113/2</f>
        <v>12.5</v>
      </c>
      <c r="R113" s="21">
        <v>24</v>
      </c>
      <c r="S113" s="21"/>
      <c r="T113" s="21">
        <v>0</v>
      </c>
      <c r="U113" s="22">
        <f>(P113*R113)+(Q113*T113)</f>
        <v>600</v>
      </c>
      <c r="V113" s="23">
        <f>V112*U113</f>
        <v>31200</v>
      </c>
      <c r="W113" s="20"/>
    </row>
    <row r="114" spans="2:24">
      <c r="B114" s="20"/>
      <c r="C114" s="20"/>
      <c r="D114" s="20"/>
      <c r="E114" s="20"/>
      <c r="F114" s="20"/>
      <c r="G114" s="20"/>
      <c r="H114" s="22"/>
      <c r="I114" s="20"/>
      <c r="J114" s="20"/>
      <c r="K114" t="s">
        <v>242</v>
      </c>
      <c r="N114" s="20"/>
      <c r="O114" s="20"/>
      <c r="P114" s="20"/>
      <c r="Q114" s="20"/>
      <c r="R114" s="20"/>
      <c r="S114" s="20"/>
      <c r="T114" s="20"/>
      <c r="U114" s="22"/>
      <c r="V114" s="20"/>
      <c r="W114" s="20"/>
      <c r="X114" t="s">
        <v>242</v>
      </c>
    </row>
    <row r="115" spans="2:24">
      <c r="B115" s="20"/>
      <c r="C115" s="20" t="s">
        <v>214</v>
      </c>
      <c r="D115" s="20"/>
      <c r="E115" s="24">
        <v>6.2E-2</v>
      </c>
      <c r="F115" s="24"/>
      <c r="G115" s="24"/>
      <c r="H115" s="22">
        <f>H113*E115</f>
        <v>26.04</v>
      </c>
      <c r="I115" s="23">
        <f>I112*H115</f>
        <v>1354.08</v>
      </c>
      <c r="J115" s="20"/>
      <c r="K115" s="25">
        <f>I115+I116+I117</f>
        <v>2104.7600000000002</v>
      </c>
      <c r="N115" s="20"/>
      <c r="O115" s="20" t="s">
        <v>214</v>
      </c>
      <c r="P115" s="20"/>
      <c r="Q115" s="24">
        <v>6.2E-2</v>
      </c>
      <c r="R115" s="24"/>
      <c r="S115" s="24"/>
      <c r="T115" s="24"/>
      <c r="U115" s="22">
        <f>U113*Q115</f>
        <v>37.200000000000003</v>
      </c>
      <c r="V115" s="23">
        <f>V112*U115</f>
        <v>1934.4</v>
      </c>
      <c r="W115" s="20"/>
      <c r="X115" s="25">
        <f>V115+V116+V117</f>
        <v>2820.8</v>
      </c>
    </row>
    <row r="116" spans="2:24">
      <c r="B116" s="20"/>
      <c r="C116" s="20" t="s">
        <v>184</v>
      </c>
      <c r="D116" s="20"/>
      <c r="E116" s="24">
        <v>1.4500000000000001E-2</v>
      </c>
      <c r="F116" s="24"/>
      <c r="G116" s="24"/>
      <c r="H116" s="22">
        <f>H113*E116</f>
        <v>6.0900000000000007</v>
      </c>
      <c r="I116" s="23">
        <f>H116*I112</f>
        <v>316.68000000000006</v>
      </c>
      <c r="J116" s="20"/>
      <c r="N116" s="20"/>
      <c r="O116" s="20" t="s">
        <v>184</v>
      </c>
      <c r="P116" s="20"/>
      <c r="Q116" s="24">
        <v>1.4500000000000001E-2</v>
      </c>
      <c r="R116" s="24"/>
      <c r="S116" s="24"/>
      <c r="T116" s="24"/>
      <c r="U116" s="22">
        <f>U113*Q116</f>
        <v>8.7000000000000011</v>
      </c>
      <c r="V116" s="23">
        <f>U116*V112</f>
        <v>452.40000000000003</v>
      </c>
      <c r="W116" s="20"/>
    </row>
    <row r="117" spans="2:24">
      <c r="B117" s="20"/>
      <c r="C117" s="20" t="s">
        <v>136</v>
      </c>
      <c r="D117" s="20"/>
      <c r="E117" s="24">
        <v>6.2E-2</v>
      </c>
      <c r="F117" s="24"/>
      <c r="G117" s="24"/>
      <c r="H117" s="22">
        <f>H113*E117</f>
        <v>26.04</v>
      </c>
      <c r="I117" s="23">
        <v>434</v>
      </c>
      <c r="J117" s="20" t="s">
        <v>178</v>
      </c>
      <c r="N117" s="20"/>
      <c r="O117" s="20" t="s">
        <v>136</v>
      </c>
      <c r="P117" s="20"/>
      <c r="Q117" s="24">
        <v>6.2E-2</v>
      </c>
      <c r="R117" s="24"/>
      <c r="S117" s="24"/>
      <c r="T117" s="24"/>
      <c r="U117" s="22">
        <f>U113*Q117</f>
        <v>37.200000000000003</v>
      </c>
      <c r="V117" s="23">
        <v>434</v>
      </c>
      <c r="W117" s="20" t="s">
        <v>178</v>
      </c>
    </row>
    <row r="118" spans="2:24">
      <c r="B118" s="20"/>
      <c r="C118" s="20"/>
      <c r="D118" s="20"/>
      <c r="E118" s="24"/>
      <c r="F118" s="24"/>
      <c r="G118" s="24"/>
      <c r="H118" s="22"/>
      <c r="I118" s="20"/>
      <c r="J118" s="20"/>
      <c r="N118" s="20"/>
      <c r="O118" s="20"/>
      <c r="P118" s="20"/>
      <c r="Q118" s="24"/>
      <c r="R118" s="24"/>
      <c r="S118" s="24"/>
      <c r="T118" s="24"/>
      <c r="U118" s="22"/>
      <c r="V118" s="20"/>
      <c r="W118" s="20"/>
    </row>
    <row r="119" spans="2:24">
      <c r="B119" s="20"/>
      <c r="C119" s="20" t="s">
        <v>260</v>
      </c>
      <c r="D119" s="20"/>
      <c r="E119" s="24">
        <v>5.0100000000000006E-2</v>
      </c>
      <c r="F119" s="24"/>
      <c r="G119" s="24"/>
      <c r="H119" s="22">
        <f>(D113*F113)*E119</f>
        <v>21.042000000000002</v>
      </c>
      <c r="I119" s="26">
        <f>H119*I112</f>
        <v>1094.1840000000002</v>
      </c>
      <c r="J119" s="20"/>
      <c r="N119" s="20"/>
      <c r="O119" s="20" t="s">
        <v>260</v>
      </c>
      <c r="P119" s="20"/>
      <c r="Q119" s="24">
        <v>1.6899999999999998E-2</v>
      </c>
      <c r="R119" s="24"/>
      <c r="S119" s="24"/>
      <c r="T119" s="24"/>
      <c r="U119" s="22">
        <f>(P113*R113)*Q119</f>
        <v>10.139999999999999</v>
      </c>
      <c r="V119" s="26">
        <f>U119*V112</f>
        <v>527.28</v>
      </c>
      <c r="W119" s="20"/>
    </row>
    <row r="120" spans="2:24">
      <c r="B120" s="20"/>
      <c r="C120" s="20"/>
      <c r="D120" s="20"/>
      <c r="E120" s="24"/>
      <c r="F120" s="24"/>
      <c r="G120" s="24"/>
      <c r="H120" s="22"/>
      <c r="I120" s="20"/>
      <c r="J120" s="20"/>
      <c r="N120" s="20"/>
      <c r="O120" s="20"/>
      <c r="P120" s="20"/>
      <c r="Q120" s="24"/>
      <c r="R120" s="24"/>
      <c r="S120" s="24"/>
      <c r="T120" s="24"/>
      <c r="U120" s="22"/>
      <c r="V120" s="20"/>
      <c r="W120" s="20"/>
    </row>
    <row r="121" spans="2:24">
      <c r="B121" s="20"/>
      <c r="C121" s="20" t="s">
        <v>183</v>
      </c>
      <c r="D121" s="20"/>
      <c r="E121" s="24">
        <v>0</v>
      </c>
      <c r="F121" s="24" t="s">
        <v>128</v>
      </c>
      <c r="G121" s="24"/>
      <c r="H121" s="22"/>
      <c r="I121" s="20"/>
      <c r="J121" s="20"/>
      <c r="N121" s="20"/>
      <c r="O121" s="20" t="s">
        <v>183</v>
      </c>
      <c r="P121" s="20"/>
      <c r="Q121" s="24">
        <v>0</v>
      </c>
      <c r="R121" s="24" t="s">
        <v>128</v>
      </c>
      <c r="S121" s="24"/>
      <c r="T121" s="24"/>
      <c r="U121" s="22"/>
      <c r="V121" s="20">
        <v>0</v>
      </c>
      <c r="W121" s="20"/>
    </row>
    <row r="122" spans="2:24">
      <c r="B122" s="20"/>
      <c r="C122" s="20"/>
      <c r="D122" s="20"/>
      <c r="E122" s="20"/>
      <c r="F122" s="20"/>
      <c r="G122" s="20"/>
      <c r="H122" s="22">
        <v>0</v>
      </c>
      <c r="I122" s="20">
        <v>0</v>
      </c>
      <c r="J122" s="20"/>
      <c r="N122" s="20"/>
      <c r="O122" s="20"/>
      <c r="P122" s="20"/>
      <c r="Q122" s="20"/>
      <c r="R122" s="20"/>
      <c r="S122" s="20"/>
      <c r="T122" s="20"/>
      <c r="U122" s="22">
        <v>0</v>
      </c>
      <c r="V122" s="20">
        <v>0</v>
      </c>
      <c r="W122" s="20"/>
    </row>
    <row r="123" spans="2:24">
      <c r="B123" s="20"/>
      <c r="C123" s="20"/>
      <c r="D123" s="20"/>
      <c r="E123" s="20"/>
      <c r="F123" s="20"/>
      <c r="G123" s="20"/>
      <c r="H123" s="28"/>
      <c r="I123" s="29"/>
      <c r="J123" s="20"/>
      <c r="N123" s="20"/>
      <c r="O123" s="20"/>
      <c r="P123" s="20"/>
      <c r="Q123" s="20"/>
      <c r="R123" s="20"/>
      <c r="S123" s="20"/>
      <c r="T123" s="20"/>
      <c r="U123" s="28"/>
      <c r="V123" s="29"/>
      <c r="W123" s="20"/>
    </row>
    <row r="124" spans="2:24">
      <c r="B124" s="20"/>
      <c r="C124" s="20"/>
      <c r="D124" s="20"/>
      <c r="E124" s="20"/>
      <c r="F124" s="20"/>
      <c r="G124" s="20"/>
      <c r="H124" s="22">
        <f>SUM(H113:H122)</f>
        <v>499.21199999999999</v>
      </c>
      <c r="I124" s="22">
        <f>SUM(I113:I122)</f>
        <v>25038.944000000003</v>
      </c>
      <c r="J124" s="20"/>
      <c r="N124" s="36">
        <f>V124-I124</f>
        <v>9509.1359999999986</v>
      </c>
      <c r="O124" s="20"/>
      <c r="P124" s="20"/>
      <c r="Q124" s="20"/>
      <c r="R124" s="20"/>
      <c r="S124" s="20"/>
      <c r="T124" s="20"/>
      <c r="U124" s="22">
        <f>SUM(U113:U122)</f>
        <v>693.24000000000012</v>
      </c>
      <c r="V124" s="22">
        <f>SUM(V113:V122)</f>
        <v>34548.080000000002</v>
      </c>
      <c r="W124" s="20"/>
    </row>
    <row r="126" spans="2:24">
      <c r="C126" s="20"/>
      <c r="D126" s="20"/>
      <c r="E126" s="23"/>
      <c r="F126" s="23"/>
      <c r="G126" s="23"/>
      <c r="H126" s="23"/>
      <c r="I126" s="20"/>
      <c r="J126" s="23"/>
      <c r="O126" s="20"/>
      <c r="P126" s="20"/>
      <c r="Q126" s="23"/>
      <c r="R126" s="23"/>
      <c r="S126" s="23"/>
      <c r="T126" s="23"/>
      <c r="U126" s="23"/>
      <c r="V126" s="20"/>
      <c r="W126" s="23"/>
    </row>
    <row r="127" spans="2:24">
      <c r="B127" s="20" t="s">
        <v>146</v>
      </c>
      <c r="C127" s="20"/>
      <c r="D127" s="20" t="s">
        <v>205</v>
      </c>
      <c r="E127" s="20"/>
      <c r="F127" s="20" t="s">
        <v>248</v>
      </c>
      <c r="G127" s="20" t="s">
        <v>199</v>
      </c>
      <c r="H127" s="20"/>
      <c r="I127" s="20" t="s">
        <v>125</v>
      </c>
      <c r="J127" s="20"/>
    </row>
    <row r="128" spans="2:24">
      <c r="B128" s="20"/>
      <c r="C128" s="20"/>
      <c r="D128" s="20" t="s">
        <v>209</v>
      </c>
      <c r="E128" s="20" t="s">
        <v>198</v>
      </c>
      <c r="F128" s="20" t="s">
        <v>263</v>
      </c>
      <c r="G128" s="20" t="s">
        <v>172</v>
      </c>
      <c r="H128" s="20"/>
      <c r="I128" s="20">
        <v>52</v>
      </c>
      <c r="J128" s="20"/>
    </row>
    <row r="129" spans="2:11">
      <c r="B129" s="20" t="s">
        <v>148</v>
      </c>
      <c r="C129" s="20"/>
      <c r="D129" s="21">
        <v>14.23</v>
      </c>
      <c r="E129" s="20">
        <f>D129/2</f>
        <v>7.1150000000000002</v>
      </c>
      <c r="F129" s="21">
        <v>25</v>
      </c>
      <c r="G129" s="21">
        <v>0</v>
      </c>
      <c r="H129" s="22">
        <f>(D129*F129)+(E129*G129)</f>
        <v>355.75</v>
      </c>
      <c r="I129" s="23">
        <f>I128*H129</f>
        <v>18499</v>
      </c>
      <c r="J129" s="20"/>
    </row>
    <row r="130" spans="2:11">
      <c r="B130" s="20"/>
      <c r="C130" s="20"/>
      <c r="D130" s="20"/>
      <c r="E130" s="20"/>
      <c r="F130" s="20"/>
      <c r="G130" s="20"/>
      <c r="H130" s="22"/>
      <c r="I130" s="20"/>
      <c r="J130" s="20"/>
      <c r="K130" t="s">
        <v>242</v>
      </c>
    </row>
    <row r="131" spans="2:11">
      <c r="B131" s="20"/>
      <c r="C131" s="20" t="s">
        <v>214</v>
      </c>
      <c r="D131" s="20"/>
      <c r="E131" s="24">
        <v>6.2E-2</v>
      </c>
      <c r="F131" s="24"/>
      <c r="G131" s="24"/>
      <c r="H131" s="22">
        <f>H129*E131</f>
        <v>22.0565</v>
      </c>
      <c r="I131" s="23">
        <f>I128*H131</f>
        <v>1146.9380000000001</v>
      </c>
      <c r="J131" s="20"/>
      <c r="K131" s="25">
        <f>I131+I132+I133</f>
        <v>1849.1735000000001</v>
      </c>
    </row>
    <row r="132" spans="2:11">
      <c r="B132" s="20"/>
      <c r="C132" s="20" t="s">
        <v>184</v>
      </c>
      <c r="D132" s="20"/>
      <c r="E132" s="24">
        <v>1.4500000000000001E-2</v>
      </c>
      <c r="F132" s="24"/>
      <c r="G132" s="24"/>
      <c r="H132" s="22">
        <f>H129*E132</f>
        <v>5.1583750000000004</v>
      </c>
      <c r="I132" s="23">
        <f>H132*I128</f>
        <v>268.2355</v>
      </c>
      <c r="J132" s="20"/>
    </row>
    <row r="133" spans="2:11">
      <c r="B133" s="20"/>
      <c r="C133" s="20" t="s">
        <v>136</v>
      </c>
      <c r="D133" s="20"/>
      <c r="E133" s="24">
        <v>6.2E-2</v>
      </c>
      <c r="F133" s="24"/>
      <c r="G133" s="24"/>
      <c r="H133" s="22">
        <f>H129*E133</f>
        <v>22.0565</v>
      </c>
      <c r="I133" s="23">
        <v>434</v>
      </c>
      <c r="J133" s="20" t="s">
        <v>178</v>
      </c>
    </row>
    <row r="134" spans="2:11">
      <c r="B134" s="20"/>
      <c r="C134" s="20"/>
      <c r="D134" s="20"/>
      <c r="E134" s="24"/>
      <c r="F134" s="24"/>
      <c r="G134" s="24"/>
      <c r="H134" s="22"/>
      <c r="I134" s="20"/>
      <c r="J134" s="20"/>
    </row>
    <row r="135" spans="2:11">
      <c r="B135" s="20"/>
      <c r="C135" s="20" t="s">
        <v>260</v>
      </c>
      <c r="D135" s="20"/>
      <c r="E135" s="24">
        <v>1.6899999999999998E-2</v>
      </c>
      <c r="F135" s="24"/>
      <c r="G135" s="24"/>
      <c r="H135" s="22">
        <f>(D129*F129)*E135</f>
        <v>6.0121749999999992</v>
      </c>
      <c r="I135" s="26">
        <f>H135*I128</f>
        <v>312.63309999999996</v>
      </c>
      <c r="J135" s="20"/>
    </row>
    <row r="136" spans="2:11">
      <c r="B136" s="20"/>
      <c r="C136" s="20"/>
      <c r="D136" s="20"/>
      <c r="E136" s="24"/>
      <c r="F136" s="24"/>
      <c r="G136" s="24"/>
      <c r="H136" s="22"/>
      <c r="I136" s="20"/>
      <c r="J136" s="20"/>
    </row>
    <row r="137" spans="2:11">
      <c r="B137" s="20"/>
      <c r="C137" s="20" t="s">
        <v>183</v>
      </c>
      <c r="D137" s="20"/>
      <c r="E137" s="24" t="s">
        <v>8</v>
      </c>
      <c r="F137" s="24"/>
      <c r="G137" s="24"/>
      <c r="H137" s="22"/>
      <c r="I137" s="20"/>
      <c r="J137" s="20"/>
    </row>
    <row r="138" spans="2:11">
      <c r="B138" s="20"/>
      <c r="C138" s="20"/>
      <c r="D138" s="20"/>
      <c r="E138" s="20"/>
      <c r="F138" s="20"/>
      <c r="G138" s="20"/>
      <c r="H138" s="22">
        <v>0</v>
      </c>
      <c r="I138" s="20">
        <v>0</v>
      </c>
      <c r="J138" s="20"/>
    </row>
    <row r="139" spans="2:11">
      <c r="B139" s="20"/>
      <c r="C139" s="20"/>
      <c r="D139" s="20"/>
      <c r="E139" s="20"/>
      <c r="F139" s="20"/>
      <c r="G139" s="20"/>
      <c r="H139" s="28"/>
      <c r="I139" s="29"/>
      <c r="J139" s="20"/>
    </row>
    <row r="140" spans="2:11">
      <c r="B140" s="20"/>
      <c r="C140" s="20"/>
      <c r="D140" s="20"/>
      <c r="E140" s="20"/>
      <c r="F140" s="20"/>
      <c r="G140" s="20"/>
      <c r="H140" s="22">
        <f>SUM(H129:H138)</f>
        <v>411.03355000000005</v>
      </c>
      <c r="I140" s="22">
        <f>SUM(I129:I138)</f>
        <v>20660.8066</v>
      </c>
      <c r="J140" s="20"/>
    </row>
    <row r="143" spans="2:11">
      <c r="B143" s="20" t="s">
        <v>202</v>
      </c>
      <c r="C143" s="20"/>
      <c r="D143" s="20" t="s">
        <v>205</v>
      </c>
      <c r="E143" s="20"/>
      <c r="F143" s="20" t="s">
        <v>248</v>
      </c>
      <c r="G143" s="20" t="s">
        <v>199</v>
      </c>
      <c r="H143" s="20"/>
      <c r="I143" s="20" t="s">
        <v>125</v>
      </c>
      <c r="J143" s="20"/>
    </row>
    <row r="144" spans="2:11">
      <c r="B144" s="20"/>
      <c r="C144" s="20"/>
      <c r="D144" s="20" t="s">
        <v>209</v>
      </c>
      <c r="E144" s="20" t="s">
        <v>198</v>
      </c>
      <c r="F144" s="20" t="s">
        <v>263</v>
      </c>
      <c r="G144" s="20" t="s">
        <v>172</v>
      </c>
      <c r="H144" s="20"/>
      <c r="I144" s="20">
        <v>52</v>
      </c>
      <c r="J144" s="20"/>
    </row>
    <row r="145" spans="2:11">
      <c r="B145" s="20" t="s">
        <v>148</v>
      </c>
      <c r="C145" s="20"/>
      <c r="D145" s="21">
        <v>16.5</v>
      </c>
      <c r="E145" s="20">
        <f>D145/2</f>
        <v>8.25</v>
      </c>
      <c r="F145" s="21">
        <v>32</v>
      </c>
      <c r="G145" s="21">
        <v>0</v>
      </c>
      <c r="H145" s="22">
        <f>(D145*F145)+(E145*G145)+(D146*F146)+(E146*G146)</f>
        <v>660</v>
      </c>
      <c r="I145" s="23">
        <f>I144*H145</f>
        <v>34320</v>
      </c>
      <c r="J145" s="20"/>
    </row>
    <row r="146" spans="2:11">
      <c r="B146" s="20"/>
      <c r="C146" s="20"/>
      <c r="D146" s="21">
        <v>16.5</v>
      </c>
      <c r="E146" s="20">
        <f>D146/2</f>
        <v>8.25</v>
      </c>
      <c r="F146" s="21">
        <v>8</v>
      </c>
      <c r="G146" s="21">
        <v>0</v>
      </c>
      <c r="H146" s="22"/>
      <c r="I146" s="20"/>
      <c r="J146" s="20"/>
      <c r="K146" t="s">
        <v>242</v>
      </c>
    </row>
    <row r="147" spans="2:11">
      <c r="B147" s="20"/>
      <c r="C147" s="20" t="s">
        <v>214</v>
      </c>
      <c r="D147" s="20"/>
      <c r="E147" s="24">
        <v>6.2E-2</v>
      </c>
      <c r="F147" s="24"/>
      <c r="G147" s="24"/>
      <c r="H147" s="22">
        <f>H145*E147</f>
        <v>40.92</v>
      </c>
      <c r="I147" s="23">
        <f>I144*H147</f>
        <v>2127.84</v>
      </c>
      <c r="J147" s="20"/>
      <c r="K147" s="25">
        <f>I147+I148+I149</f>
        <v>3059.48</v>
      </c>
    </row>
    <row r="148" spans="2:11">
      <c r="B148" s="20"/>
      <c r="C148" s="20" t="s">
        <v>184</v>
      </c>
      <c r="D148" s="20"/>
      <c r="E148" s="24">
        <v>1.4500000000000001E-2</v>
      </c>
      <c r="F148" s="24"/>
      <c r="G148" s="24"/>
      <c r="H148" s="22">
        <f>H145*E148</f>
        <v>9.57</v>
      </c>
      <c r="I148" s="23">
        <f>H148*I144</f>
        <v>497.64</v>
      </c>
      <c r="J148" s="20"/>
    </row>
    <row r="149" spans="2:11">
      <c r="B149" s="20"/>
      <c r="C149" s="20" t="s">
        <v>136</v>
      </c>
      <c r="D149" s="20"/>
      <c r="E149" s="24">
        <v>6.2E-2</v>
      </c>
      <c r="F149" s="24"/>
      <c r="G149" s="24"/>
      <c r="H149" s="22">
        <f>H145*E149</f>
        <v>40.92</v>
      </c>
      <c r="I149" s="23">
        <v>434</v>
      </c>
      <c r="J149" s="20" t="s">
        <v>178</v>
      </c>
    </row>
    <row r="150" spans="2:11">
      <c r="B150" s="20"/>
      <c r="C150" s="20"/>
      <c r="D150" s="20"/>
      <c r="E150" s="24"/>
      <c r="F150" s="24"/>
      <c r="G150" s="24"/>
      <c r="H150" s="22"/>
      <c r="I150" s="20"/>
      <c r="J150" s="20"/>
    </row>
    <row r="151" spans="2:11">
      <c r="B151" s="20"/>
      <c r="C151" s="20" t="s">
        <v>260</v>
      </c>
      <c r="D151" s="20"/>
      <c r="E151" s="24">
        <v>7.8400000000000011E-2</v>
      </c>
      <c r="F151" s="24"/>
      <c r="G151" s="24"/>
      <c r="H151" s="22">
        <f>(D145*F145)*E151</f>
        <v>41.395200000000003</v>
      </c>
      <c r="I151" s="26">
        <f>H151*I144</f>
        <v>2152.5504000000001</v>
      </c>
      <c r="J151" s="20"/>
    </row>
    <row r="152" spans="2:11">
      <c r="B152" s="20"/>
      <c r="C152" s="20"/>
      <c r="D152" s="20"/>
      <c r="E152" s="24"/>
      <c r="F152" s="24"/>
      <c r="G152" s="24"/>
      <c r="H152" s="22"/>
      <c r="I152" s="20"/>
      <c r="J152" s="20"/>
    </row>
    <row r="153" spans="2:11">
      <c r="B153" s="20"/>
      <c r="C153" s="20" t="s">
        <v>183</v>
      </c>
      <c r="D153" s="20"/>
      <c r="E153" s="30">
        <v>2.62</v>
      </c>
      <c r="F153" s="24"/>
      <c r="G153" s="24"/>
      <c r="H153" s="22">
        <f>E153*F145</f>
        <v>83.84</v>
      </c>
      <c r="I153" s="20">
        <v>5</v>
      </c>
      <c r="J153" s="20"/>
    </row>
    <row r="154" spans="2:11">
      <c r="B154" s="20"/>
      <c r="C154" s="20"/>
      <c r="D154" s="20"/>
      <c r="E154" s="20"/>
      <c r="F154" s="20"/>
      <c r="G154" s="20"/>
      <c r="H154" s="22"/>
      <c r="I154" s="20"/>
      <c r="J154" s="20"/>
    </row>
    <row r="155" spans="2:11">
      <c r="B155" s="20"/>
      <c r="C155" s="20"/>
      <c r="D155" s="20"/>
      <c r="E155" s="20"/>
      <c r="F155" s="20"/>
      <c r="G155" s="20"/>
      <c r="H155" s="28"/>
      <c r="I155" s="29"/>
      <c r="J155" s="20"/>
    </row>
    <row r="156" spans="2:11">
      <c r="B156" s="20"/>
      <c r="C156" s="20"/>
      <c r="D156" s="20"/>
      <c r="E156" s="20"/>
      <c r="F156" s="20"/>
      <c r="G156" s="20"/>
      <c r="H156" s="22">
        <f>SUM(H145:H154)</f>
        <v>876.64520000000005</v>
      </c>
      <c r="I156" s="22">
        <f>SUM(I145:I154)</f>
        <v>39537.030399999996</v>
      </c>
      <c r="J156" s="20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2"/>
  <sheetViews>
    <sheetView topLeftCell="A55" workbookViewId="0">
      <selection activeCell="I93" sqref="I93"/>
    </sheetView>
  </sheetViews>
  <sheetFormatPr defaultRowHeight="13.2"/>
  <cols>
    <col min="5" max="5" width="10.6640625" customWidth="1"/>
    <col min="8" max="8" width="11.33203125" customWidth="1"/>
    <col min="9" max="9" width="12.88671875" customWidth="1"/>
  </cols>
  <sheetData>
    <row r="1" spans="1:9">
      <c r="A1" s="20" t="s">
        <v>192</v>
      </c>
      <c r="G1" t="s">
        <v>135</v>
      </c>
    </row>
    <row r="3" spans="1:9">
      <c r="D3" t="s">
        <v>205</v>
      </c>
      <c r="F3" t="s">
        <v>243</v>
      </c>
      <c r="G3" t="s">
        <v>197</v>
      </c>
      <c r="I3" t="s">
        <v>125</v>
      </c>
    </row>
    <row r="4" spans="1:9">
      <c r="B4" t="s">
        <v>140</v>
      </c>
      <c r="D4" t="s">
        <v>209</v>
      </c>
      <c r="E4" t="s">
        <v>198</v>
      </c>
      <c r="F4" t="s">
        <v>170</v>
      </c>
      <c r="G4" t="s">
        <v>170</v>
      </c>
      <c r="I4" s="10">
        <v>3</v>
      </c>
    </row>
    <row r="5" spans="1:9">
      <c r="B5" t="s">
        <v>148</v>
      </c>
      <c r="D5" s="10">
        <v>17.28</v>
      </c>
      <c r="E5">
        <f>D5/2</f>
        <v>8.64</v>
      </c>
      <c r="F5" s="10">
        <v>24</v>
      </c>
      <c r="G5" s="10">
        <v>24</v>
      </c>
      <c r="H5" s="30">
        <f>(D5*F5)+(E5*G5)</f>
        <v>622.08000000000004</v>
      </c>
      <c r="I5" s="30">
        <f>I4*H5</f>
        <v>1866.2400000000002</v>
      </c>
    </row>
    <row r="6" spans="1:9">
      <c r="H6" s="30"/>
      <c r="I6" s="30"/>
    </row>
    <row r="7" spans="1:9">
      <c r="C7" t="s">
        <v>214</v>
      </c>
      <c r="E7">
        <v>6.2E-2</v>
      </c>
      <c r="H7" s="30">
        <f>H5*E7</f>
        <v>38.568960000000004</v>
      </c>
      <c r="I7" s="30">
        <f>I4*H7</f>
        <v>115.70688000000001</v>
      </c>
    </row>
    <row r="8" spans="1:9">
      <c r="C8" t="s">
        <v>184</v>
      </c>
      <c r="E8">
        <v>1.4500000000000001E-2</v>
      </c>
      <c r="H8" s="30">
        <f>H5*E8</f>
        <v>9.0201600000000006</v>
      </c>
      <c r="I8" s="30">
        <f>H8*I4</f>
        <v>27.060480000000002</v>
      </c>
    </row>
    <row r="9" spans="1:9">
      <c r="C9" t="s">
        <v>136</v>
      </c>
      <c r="E9">
        <v>6.2E-2</v>
      </c>
      <c r="H9" s="30"/>
      <c r="I9" t="s">
        <v>177</v>
      </c>
    </row>
    <row r="10" spans="1:9">
      <c r="H10" s="30"/>
      <c r="I10" s="30"/>
    </row>
    <row r="11" spans="1:9">
      <c r="C11" t="s">
        <v>260</v>
      </c>
      <c r="E11">
        <v>5.8100000000000027E-2</v>
      </c>
      <c r="H11" s="30">
        <f>(D5*F5)*E11</f>
        <v>24.095232000000014</v>
      </c>
      <c r="I11" s="37">
        <f>H11*I4</f>
        <v>72.285696000000044</v>
      </c>
    </row>
    <row r="12" spans="1:9">
      <c r="H12" s="30"/>
      <c r="I12" s="38">
        <f>SUM(I5:I11)</f>
        <v>2081.2930560000004</v>
      </c>
    </row>
    <row r="13" spans="1:9">
      <c r="D13" t="s">
        <v>205</v>
      </c>
      <c r="F13" t="s">
        <v>243</v>
      </c>
      <c r="G13" t="s">
        <v>197</v>
      </c>
      <c r="H13" s="30"/>
      <c r="I13" s="30" t="s">
        <v>125</v>
      </c>
    </row>
    <row r="14" spans="1:9">
      <c r="B14" t="s">
        <v>161</v>
      </c>
      <c r="D14" t="s">
        <v>209</v>
      </c>
      <c r="E14" t="s">
        <v>198</v>
      </c>
      <c r="F14" t="s">
        <v>170</v>
      </c>
      <c r="G14" t="s">
        <v>170</v>
      </c>
      <c r="H14" s="30"/>
      <c r="I14" s="39">
        <v>6</v>
      </c>
    </row>
    <row r="15" spans="1:9">
      <c r="B15" t="s">
        <v>148</v>
      </c>
      <c r="D15" s="10">
        <v>15.65</v>
      </c>
      <c r="E15">
        <f>D15/2</f>
        <v>7.8250000000000002</v>
      </c>
      <c r="F15" s="10">
        <v>24</v>
      </c>
      <c r="G15" s="10">
        <v>24</v>
      </c>
      <c r="H15" s="30">
        <f>(D15*F15)+(E15*G15)</f>
        <v>563.40000000000009</v>
      </c>
      <c r="I15" s="30">
        <f>I14*H15</f>
        <v>3380.4000000000005</v>
      </c>
    </row>
    <row r="16" spans="1:9">
      <c r="H16" s="30"/>
      <c r="I16" s="30"/>
    </row>
    <row r="17" spans="2:9">
      <c r="C17" t="s">
        <v>214</v>
      </c>
      <c r="E17">
        <v>6.2E-2</v>
      </c>
      <c r="H17" s="30">
        <f>H15*E17</f>
        <v>34.930800000000005</v>
      </c>
      <c r="I17" s="30">
        <f>I14*H17</f>
        <v>209.58480000000003</v>
      </c>
    </row>
    <row r="18" spans="2:9">
      <c r="C18" t="s">
        <v>184</v>
      </c>
      <c r="E18">
        <v>1.4500000000000001E-2</v>
      </c>
      <c r="H18" s="30">
        <f>H15*E18</f>
        <v>8.1693000000000016</v>
      </c>
      <c r="I18" s="30">
        <f>H18*I14</f>
        <v>49.015800000000013</v>
      </c>
    </row>
    <row r="19" spans="2:9">
      <c r="C19" t="s">
        <v>136</v>
      </c>
      <c r="E19">
        <v>6.2E-2</v>
      </c>
      <c r="H19" s="30"/>
      <c r="I19" s="30" t="s">
        <v>177</v>
      </c>
    </row>
    <row r="20" spans="2:9">
      <c r="H20" s="30"/>
      <c r="I20" s="30"/>
    </row>
    <row r="21" spans="2:9">
      <c r="C21" t="s">
        <v>260</v>
      </c>
      <c r="E21">
        <v>5.8100000000000027E-2</v>
      </c>
      <c r="H21" s="30">
        <f>(D15*F15)*E21</f>
        <v>21.82236000000001</v>
      </c>
      <c r="I21" s="37">
        <f>H21*I14</f>
        <v>130.93416000000008</v>
      </c>
    </row>
    <row r="22" spans="2:9">
      <c r="H22" s="30"/>
      <c r="I22" s="30"/>
    </row>
    <row r="23" spans="2:9">
      <c r="F23" t="s">
        <v>0</v>
      </c>
      <c r="G23" t="s">
        <v>0</v>
      </c>
      <c r="H23" s="30">
        <f>SUM(H15:H22)</f>
        <v>628.32246000000009</v>
      </c>
      <c r="I23" s="30">
        <f>SUM(I15:I22)</f>
        <v>3769.934760000001</v>
      </c>
    </row>
    <row r="24" spans="2:9">
      <c r="H24" s="30" t="s">
        <v>0</v>
      </c>
      <c r="I24" s="30"/>
    </row>
    <row r="25" spans="2:9">
      <c r="D25" t="s">
        <v>205</v>
      </c>
      <c r="F25" t="s">
        <v>243</v>
      </c>
      <c r="G25" t="s">
        <v>197</v>
      </c>
      <c r="H25" s="30"/>
      <c r="I25" s="30" t="s">
        <v>125</v>
      </c>
    </row>
    <row r="26" spans="2:9">
      <c r="B26" t="s">
        <v>200</v>
      </c>
      <c r="D26" t="s">
        <v>209</v>
      </c>
      <c r="E26" t="s">
        <v>198</v>
      </c>
      <c r="F26" t="s">
        <v>170</v>
      </c>
      <c r="G26" t="s">
        <v>170</v>
      </c>
      <c r="H26" s="30"/>
      <c r="I26" s="39">
        <v>9</v>
      </c>
    </row>
    <row r="27" spans="2:9">
      <c r="B27" t="s">
        <v>148</v>
      </c>
      <c r="D27" s="10">
        <v>13.84</v>
      </c>
      <c r="E27">
        <f>D27/2</f>
        <v>6.92</v>
      </c>
      <c r="F27" s="10">
        <v>24</v>
      </c>
      <c r="G27" s="10">
        <v>24</v>
      </c>
      <c r="H27" s="30">
        <f>(D27*F27)+(E27*G27)</f>
        <v>498.23999999999995</v>
      </c>
      <c r="I27" s="30">
        <f>I26*H27</f>
        <v>4484.16</v>
      </c>
    </row>
    <row r="28" spans="2:9">
      <c r="D28" t="s">
        <v>171</v>
      </c>
      <c r="F28" s="10">
        <v>1</v>
      </c>
      <c r="G28" s="10">
        <v>25</v>
      </c>
      <c r="H28" s="30">
        <f>F28*G28</f>
        <v>25</v>
      </c>
      <c r="I28" s="30">
        <f>H28*I26</f>
        <v>225</v>
      </c>
    </row>
    <row r="29" spans="2:9">
      <c r="C29" t="s">
        <v>214</v>
      </c>
      <c r="E29">
        <v>6.2E-2</v>
      </c>
      <c r="H29" s="30">
        <f>(H27+H28)*E29</f>
        <v>32.44088</v>
      </c>
      <c r="I29" s="30">
        <f>I26*H29</f>
        <v>291.96791999999999</v>
      </c>
    </row>
    <row r="30" spans="2:9">
      <c r="C30" t="s">
        <v>184</v>
      </c>
      <c r="E30">
        <v>1.4500000000000001E-2</v>
      </c>
      <c r="H30" s="30">
        <f>(H27+H28)*E30</f>
        <v>7.5869800000000005</v>
      </c>
      <c r="I30" s="30">
        <f>H30*I26</f>
        <v>68.282820000000001</v>
      </c>
    </row>
    <row r="31" spans="2:9">
      <c r="C31" t="s">
        <v>136</v>
      </c>
      <c r="E31">
        <v>6.2E-2</v>
      </c>
      <c r="H31" s="30"/>
      <c r="I31" s="30" t="s">
        <v>177</v>
      </c>
    </row>
    <row r="32" spans="2:9">
      <c r="H32" s="30"/>
      <c r="I32" s="30"/>
    </row>
    <row r="33" spans="2:9">
      <c r="C33" t="s">
        <v>260</v>
      </c>
      <c r="E33">
        <v>5.8100000000000027E-2</v>
      </c>
      <c r="H33" s="22">
        <f>((D27*F27)+H28)*E33</f>
        <v>20.750996000000008</v>
      </c>
      <c r="I33" s="37">
        <f>H33*I26</f>
        <v>186.75896400000008</v>
      </c>
    </row>
    <row r="34" spans="2:9">
      <c r="H34" s="30">
        <f>SUM(H27:H33)</f>
        <v>584.01885600000003</v>
      </c>
      <c r="I34" s="30">
        <f>SUM(I27:I33)</f>
        <v>5256.1697039999999</v>
      </c>
    </row>
    <row r="35" spans="2:9">
      <c r="H35" s="30"/>
      <c r="I35" s="30"/>
    </row>
    <row r="36" spans="2:9">
      <c r="B36" t="s">
        <v>176</v>
      </c>
      <c r="D36" t="s">
        <v>205</v>
      </c>
      <c r="F36" t="s">
        <v>243</v>
      </c>
      <c r="G36" t="s">
        <v>197</v>
      </c>
      <c r="H36" s="30"/>
      <c r="I36" s="30" t="s">
        <v>125</v>
      </c>
    </row>
    <row r="37" spans="2:9">
      <c r="D37" t="s">
        <v>209</v>
      </c>
      <c r="E37" t="s">
        <v>198</v>
      </c>
      <c r="F37" t="s">
        <v>170</v>
      </c>
      <c r="G37" t="s">
        <v>170</v>
      </c>
      <c r="H37" s="30"/>
      <c r="I37" s="39">
        <v>0</v>
      </c>
    </row>
    <row r="38" spans="2:9">
      <c r="B38" t="s">
        <v>148</v>
      </c>
      <c r="D38" s="10">
        <v>12.5</v>
      </c>
      <c r="E38">
        <v>5.25</v>
      </c>
      <c r="F38" s="10">
        <v>0</v>
      </c>
      <c r="G38" s="10">
        <v>0</v>
      </c>
      <c r="H38" s="30">
        <f>(D38*F38)+(E38*G38)</f>
        <v>0</v>
      </c>
      <c r="I38" s="30">
        <f>I37*H38</f>
        <v>0</v>
      </c>
    </row>
    <row r="39" spans="2:9">
      <c r="H39" s="30"/>
      <c r="I39" s="30"/>
    </row>
    <row r="40" spans="2:9">
      <c r="C40" t="s">
        <v>214</v>
      </c>
      <c r="E40">
        <v>6.2E-2</v>
      </c>
      <c r="H40" s="30">
        <f>H38*E40</f>
        <v>0</v>
      </c>
      <c r="I40" s="30">
        <f>I37*H40</f>
        <v>0</v>
      </c>
    </row>
    <row r="41" spans="2:9">
      <c r="C41" t="s">
        <v>184</v>
      </c>
      <c r="E41">
        <v>1.4500000000000001E-2</v>
      </c>
      <c r="H41" s="30">
        <f>H38*E41</f>
        <v>0</v>
      </c>
      <c r="I41" s="30">
        <f>H41*I37</f>
        <v>0</v>
      </c>
    </row>
    <row r="42" spans="2:9">
      <c r="C42" t="s">
        <v>136</v>
      </c>
      <c r="E42">
        <v>6.2E-2</v>
      </c>
      <c r="H42" s="30">
        <f>H38*E42</f>
        <v>0</v>
      </c>
      <c r="I42" s="30" t="s">
        <v>177</v>
      </c>
    </row>
    <row r="43" spans="2:9">
      <c r="H43" s="30"/>
      <c r="I43" s="30"/>
    </row>
    <row r="44" spans="2:9">
      <c r="C44" t="s">
        <v>260</v>
      </c>
      <c r="E44">
        <v>8.910000000000004E-2</v>
      </c>
      <c r="H44" s="30">
        <f>(D38*F38)*E44</f>
        <v>0</v>
      </c>
      <c r="I44" s="37">
        <f>H44*I37</f>
        <v>0</v>
      </c>
    </row>
    <row r="45" spans="2:9">
      <c r="H45" s="30"/>
      <c r="I45" s="30"/>
    </row>
    <row r="46" spans="2:9">
      <c r="H46" s="30">
        <f>SUM(H38:H45)</f>
        <v>0</v>
      </c>
      <c r="I46" s="30">
        <f>SUM(I38:I45)</f>
        <v>0</v>
      </c>
    </row>
    <row r="47" spans="2:9">
      <c r="H47" s="30"/>
      <c r="I47" s="30"/>
    </row>
    <row r="50" spans="2:9">
      <c r="C50" t="s">
        <v>140</v>
      </c>
      <c r="E50" s="25">
        <f>I12</f>
        <v>2081.2930560000004</v>
      </c>
    </row>
    <row r="51" spans="2:9">
      <c r="C51" t="s">
        <v>161</v>
      </c>
      <c r="E51" s="25">
        <f>I23</f>
        <v>3769.934760000001</v>
      </c>
    </row>
    <row r="52" spans="2:9">
      <c r="E52" s="25">
        <f>E51</f>
        <v>3769.934760000001</v>
      </c>
    </row>
    <row r="53" spans="2:9">
      <c r="C53" t="s">
        <v>200</v>
      </c>
      <c r="E53" s="25">
        <f>I34</f>
        <v>5256.1697039999999</v>
      </c>
    </row>
    <row r="54" spans="2:9">
      <c r="E54" s="25">
        <f>E53</f>
        <v>5256.1697039999999</v>
      </c>
    </row>
    <row r="55" spans="2:9">
      <c r="E55" s="25">
        <f>E54</f>
        <v>5256.1697039999999</v>
      </c>
    </row>
    <row r="56" spans="2:9">
      <c r="C56" t="s">
        <v>159</v>
      </c>
      <c r="E56" s="25">
        <f>I46</f>
        <v>0</v>
      </c>
    </row>
    <row r="58" spans="2:9">
      <c r="E58" s="27">
        <f>SUM(E50:E57)</f>
        <v>25389.671688000002</v>
      </c>
      <c r="F58" s="3"/>
      <c r="G58" s="3"/>
      <c r="H58" s="3"/>
    </row>
    <row r="59" spans="2:9">
      <c r="E59" s="3"/>
      <c r="F59" s="3"/>
      <c r="G59" s="3"/>
      <c r="H59" s="3"/>
    </row>
    <row r="60" spans="2:9">
      <c r="B60" t="s">
        <v>194</v>
      </c>
      <c r="E60" s="3"/>
      <c r="F60" s="3"/>
      <c r="G60" s="3"/>
      <c r="H60" s="3"/>
    </row>
    <row r="61" spans="2:9">
      <c r="E61" s="3"/>
      <c r="F61" s="3"/>
      <c r="G61" s="3"/>
      <c r="H61" s="3"/>
    </row>
    <row r="62" spans="2:9">
      <c r="D62" t="s">
        <v>205</v>
      </c>
      <c r="F62" t="s">
        <v>243</v>
      </c>
      <c r="G62" t="s">
        <v>197</v>
      </c>
      <c r="H62" s="30"/>
      <c r="I62" s="30" t="s">
        <v>122</v>
      </c>
    </row>
    <row r="63" spans="2:9">
      <c r="B63" t="s">
        <v>161</v>
      </c>
      <c r="D63" t="s">
        <v>209</v>
      </c>
      <c r="E63" t="s">
        <v>198</v>
      </c>
      <c r="F63" t="s">
        <v>170</v>
      </c>
      <c r="G63" t="s">
        <v>170</v>
      </c>
      <c r="H63" s="30"/>
      <c r="I63" s="39">
        <v>8</v>
      </c>
    </row>
    <row r="64" spans="2:9">
      <c r="B64" t="s">
        <v>148</v>
      </c>
      <c r="D64" s="10">
        <v>15.65</v>
      </c>
      <c r="E64">
        <f>D64/2</f>
        <v>7.8250000000000002</v>
      </c>
      <c r="F64" s="10">
        <v>10</v>
      </c>
      <c r="G64" s="10">
        <v>0</v>
      </c>
      <c r="H64" s="30">
        <f>(D64*F64)+(E64*G64)</f>
        <v>156.5</v>
      </c>
      <c r="I64" s="30">
        <f>I63*H64</f>
        <v>1252</v>
      </c>
    </row>
    <row r="65" spans="2:9">
      <c r="H65" s="30"/>
      <c r="I65" s="30"/>
    </row>
    <row r="66" spans="2:9">
      <c r="C66" t="s">
        <v>214</v>
      </c>
      <c r="E66">
        <v>6.2E-2</v>
      </c>
      <c r="H66" s="30">
        <f>H64*E66</f>
        <v>9.7029999999999994</v>
      </c>
      <c r="I66" s="30">
        <f>I63*H66</f>
        <v>77.623999999999995</v>
      </c>
    </row>
    <row r="67" spans="2:9">
      <c r="C67" t="s">
        <v>184</v>
      </c>
      <c r="E67">
        <v>1.4500000000000001E-2</v>
      </c>
      <c r="H67" s="30">
        <f>H64*E67</f>
        <v>2.26925</v>
      </c>
      <c r="I67" s="30">
        <f>H67*I63</f>
        <v>18.154</v>
      </c>
    </row>
    <row r="68" spans="2:9">
      <c r="C68" t="s">
        <v>136</v>
      </c>
      <c r="E68">
        <v>6.2E-2</v>
      </c>
      <c r="H68" s="30"/>
      <c r="I68" s="30" t="s">
        <v>177</v>
      </c>
    </row>
    <row r="69" spans="2:9">
      <c r="H69" s="30"/>
      <c r="I69" s="30"/>
    </row>
    <row r="70" spans="2:9">
      <c r="C70" t="s">
        <v>260</v>
      </c>
      <c r="E70">
        <v>5.8100000000000027E-2</v>
      </c>
      <c r="H70" s="30">
        <f>(D64*F64)*E70</f>
        <v>9.0926500000000043</v>
      </c>
      <c r="I70" s="37">
        <f>H70*I63</f>
        <v>72.741200000000035</v>
      </c>
    </row>
    <row r="71" spans="2:9">
      <c r="H71" s="30"/>
      <c r="I71" s="30"/>
    </row>
    <row r="72" spans="2:9">
      <c r="F72" t="s">
        <v>0</v>
      </c>
      <c r="G72" t="s">
        <v>0</v>
      </c>
      <c r="H72" s="30">
        <f>SUM(H64:H71)</f>
        <v>177.56489999999999</v>
      </c>
      <c r="I72" s="30">
        <f>SUM(I64:I71)</f>
        <v>1420.5192</v>
      </c>
    </row>
    <row r="75" spans="2:9">
      <c r="B75" t="s">
        <v>0</v>
      </c>
    </row>
    <row r="76" spans="2:9">
      <c r="D76" t="s">
        <v>205</v>
      </c>
      <c r="F76" t="s">
        <v>243</v>
      </c>
      <c r="G76" t="s">
        <v>197</v>
      </c>
      <c r="H76" s="30"/>
      <c r="I76" s="30" t="s">
        <v>122</v>
      </c>
    </row>
    <row r="77" spans="2:9">
      <c r="B77" t="s">
        <v>200</v>
      </c>
      <c r="D77" t="s">
        <v>209</v>
      </c>
      <c r="E77" t="s">
        <v>198</v>
      </c>
      <c r="F77" t="s">
        <v>170</v>
      </c>
      <c r="G77" t="s">
        <v>170</v>
      </c>
      <c r="H77" s="30"/>
      <c r="I77" s="39">
        <v>8</v>
      </c>
    </row>
    <row r="78" spans="2:9">
      <c r="B78" t="s">
        <v>148</v>
      </c>
      <c r="D78" s="10">
        <v>13.84</v>
      </c>
      <c r="E78">
        <f>D78/2</f>
        <v>6.92</v>
      </c>
      <c r="F78" s="10">
        <v>10</v>
      </c>
      <c r="G78" s="10">
        <v>0</v>
      </c>
      <c r="H78" s="30">
        <f>(D78*F78)+(E78*G78)</f>
        <v>138.4</v>
      </c>
      <c r="I78" s="30">
        <f>I77*H78</f>
        <v>1107.2</v>
      </c>
    </row>
    <row r="79" spans="2:9">
      <c r="H79" s="30"/>
      <c r="I79" s="30"/>
    </row>
    <row r="80" spans="2:9">
      <c r="C80" t="s">
        <v>214</v>
      </c>
      <c r="E80">
        <v>6.2E-2</v>
      </c>
      <c r="H80" s="30">
        <f>H78*E80</f>
        <v>8.5808</v>
      </c>
      <c r="I80" s="30">
        <f>I77*H80</f>
        <v>68.6464</v>
      </c>
    </row>
    <row r="81" spans="2:9">
      <c r="C81" t="s">
        <v>184</v>
      </c>
      <c r="E81">
        <v>1.4500000000000001E-2</v>
      </c>
      <c r="H81" s="30">
        <f>H78*E81</f>
        <v>2.0068000000000001</v>
      </c>
      <c r="I81" s="30">
        <f>H81*I77</f>
        <v>16.054400000000001</v>
      </c>
    </row>
    <row r="82" spans="2:9">
      <c r="C82" t="s">
        <v>136</v>
      </c>
      <c r="E82">
        <v>6.2E-2</v>
      </c>
      <c r="H82" s="30"/>
      <c r="I82" s="30" t="s">
        <v>177</v>
      </c>
    </row>
    <row r="83" spans="2:9">
      <c r="H83" s="30"/>
      <c r="I83" s="30"/>
    </row>
    <row r="84" spans="2:9">
      <c r="C84" t="s">
        <v>260</v>
      </c>
      <c r="E84">
        <v>5.8100000000000027E-2</v>
      </c>
      <c r="H84" s="30">
        <f>(D78*F78)*E84</f>
        <v>8.0410400000000042</v>
      </c>
      <c r="I84" s="37">
        <f>H84*I77</f>
        <v>64.328320000000033</v>
      </c>
    </row>
    <row r="85" spans="2:9">
      <c r="H85" s="30"/>
      <c r="I85" s="30"/>
    </row>
    <row r="86" spans="2:9">
      <c r="F86" t="s">
        <v>0</v>
      </c>
      <c r="G86" t="s">
        <v>0</v>
      </c>
      <c r="H86" s="30">
        <f>SUM(H78:H85)</f>
        <v>157.02864000000002</v>
      </c>
      <c r="I86" s="30">
        <f>SUM(I78:I85)</f>
        <v>1256.2291200000002</v>
      </c>
    </row>
    <row r="91" spans="2:9">
      <c r="B91" t="s">
        <v>0</v>
      </c>
    </row>
    <row r="92" spans="2:9">
      <c r="D92" t="s">
        <v>205</v>
      </c>
      <c r="F92" t="s">
        <v>243</v>
      </c>
      <c r="G92" t="s">
        <v>197</v>
      </c>
      <c r="H92" s="30"/>
      <c r="I92" s="30" t="s">
        <v>122</v>
      </c>
    </row>
    <row r="93" spans="2:9">
      <c r="B93" t="s">
        <v>140</v>
      </c>
      <c r="D93" t="s">
        <v>209</v>
      </c>
      <c r="E93" t="s">
        <v>198</v>
      </c>
      <c r="F93" t="s">
        <v>170</v>
      </c>
      <c r="G93" t="s">
        <v>170</v>
      </c>
      <c r="H93" s="30"/>
      <c r="I93" s="39">
        <v>8</v>
      </c>
    </row>
    <row r="94" spans="2:9">
      <c r="B94" t="s">
        <v>148</v>
      </c>
      <c r="D94" s="10">
        <v>17.28</v>
      </c>
      <c r="E94">
        <f>D94/2</f>
        <v>8.64</v>
      </c>
      <c r="F94" s="10">
        <v>10</v>
      </c>
      <c r="G94" s="10">
        <v>0</v>
      </c>
      <c r="H94" s="30">
        <f>(D94*F94)+(E94*G94)</f>
        <v>172.8</v>
      </c>
      <c r="I94" s="30">
        <f>I93*H94</f>
        <v>1382.4</v>
      </c>
    </row>
    <row r="95" spans="2:9">
      <c r="H95" s="30"/>
      <c r="I95" s="30"/>
    </row>
    <row r="96" spans="2:9">
      <c r="C96" t="s">
        <v>214</v>
      </c>
      <c r="E96">
        <v>6.2E-2</v>
      </c>
      <c r="H96" s="30">
        <f>H94*E96</f>
        <v>10.713600000000001</v>
      </c>
      <c r="I96" s="30">
        <f>I93*H96</f>
        <v>85.708800000000011</v>
      </c>
    </row>
    <row r="97" spans="3:9">
      <c r="C97" t="s">
        <v>184</v>
      </c>
      <c r="E97">
        <v>1.4500000000000001E-2</v>
      </c>
      <c r="H97" s="30">
        <f>H94*E97</f>
        <v>2.5056000000000003</v>
      </c>
      <c r="I97" s="30">
        <f>H97*I93</f>
        <v>20.044800000000002</v>
      </c>
    </row>
    <row r="98" spans="3:9">
      <c r="C98" t="s">
        <v>136</v>
      </c>
      <c r="E98">
        <v>6.2E-2</v>
      </c>
      <c r="H98" s="30"/>
      <c r="I98" s="30" t="s">
        <v>177</v>
      </c>
    </row>
    <row r="99" spans="3:9">
      <c r="H99" s="30"/>
      <c r="I99" s="30"/>
    </row>
    <row r="100" spans="3:9">
      <c r="C100" t="s">
        <v>260</v>
      </c>
      <c r="E100">
        <v>5.8100000000000027E-2</v>
      </c>
      <c r="H100" s="30">
        <f>(D94*F94)*E100</f>
        <v>10.039680000000006</v>
      </c>
      <c r="I100" s="37">
        <f>H100*I93</f>
        <v>80.317440000000047</v>
      </c>
    </row>
    <row r="101" spans="3:9">
      <c r="H101" s="30"/>
      <c r="I101" s="30"/>
    </row>
    <row r="102" spans="3:9">
      <c r="F102" t="s">
        <v>0</v>
      </c>
      <c r="G102" t="s">
        <v>0</v>
      </c>
      <c r="H102" s="30">
        <f>SUM(H94:H101)</f>
        <v>196.05888000000002</v>
      </c>
      <c r="I102" s="30">
        <f>SUM(I94:I101)</f>
        <v>1568.4710400000001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80"/>
  <sheetViews>
    <sheetView topLeftCell="A43" workbookViewId="0">
      <selection activeCell="E69" sqref="E69"/>
    </sheetView>
  </sheetViews>
  <sheetFormatPr defaultRowHeight="13.2"/>
  <sheetData>
    <row r="1" spans="2:11">
      <c r="C1" t="s">
        <v>163</v>
      </c>
    </row>
    <row r="2" spans="2:11">
      <c r="F2" t="s">
        <v>139</v>
      </c>
    </row>
    <row r="3" spans="2:11">
      <c r="C3">
        <v>9</v>
      </c>
      <c r="K3" t="s">
        <v>215</v>
      </c>
    </row>
    <row r="4" spans="2:11">
      <c r="B4" t="s">
        <v>0</v>
      </c>
      <c r="D4" t="s">
        <v>131</v>
      </c>
      <c r="E4" t="s">
        <v>216</v>
      </c>
      <c r="F4" t="s">
        <v>218</v>
      </c>
      <c r="G4" t="s">
        <v>220</v>
      </c>
      <c r="H4" t="s">
        <v>221</v>
      </c>
    </row>
    <row r="5" spans="2:11" ht="14.4">
      <c r="B5">
        <v>0.97330000000000005</v>
      </c>
      <c r="C5" t="s">
        <v>144</v>
      </c>
      <c r="D5" s="40">
        <v>22.181793787608001</v>
      </c>
      <c r="E5" s="40">
        <v>22.7363386322982</v>
      </c>
      <c r="F5" s="40">
        <v>23.304747098105658</v>
      </c>
      <c r="G5" s="40">
        <v>23.887365775558298</v>
      </c>
      <c r="H5" s="40">
        <v>24.484549919947248</v>
      </c>
      <c r="K5" t="s">
        <v>137</v>
      </c>
    </row>
    <row r="6" spans="2:11" ht="14.4">
      <c r="B6">
        <v>0.13200000000000001</v>
      </c>
      <c r="C6" t="s">
        <v>142</v>
      </c>
      <c r="D6" s="41">
        <v>11.24096376</v>
      </c>
      <c r="E6" s="40">
        <v>11.521987854000001</v>
      </c>
      <c r="F6" s="40">
        <v>11.81003755035</v>
      </c>
      <c r="G6" s="40">
        <v>12.105288489108746</v>
      </c>
      <c r="H6" s="42">
        <v>12.407920701336465</v>
      </c>
    </row>
    <row r="7" spans="2:11" ht="14.4">
      <c r="B7">
        <v>0.13100000000000001</v>
      </c>
      <c r="C7" t="s">
        <v>161</v>
      </c>
      <c r="D7" s="41">
        <v>9.93018</v>
      </c>
      <c r="E7" s="40">
        <v>10.1784345</v>
      </c>
      <c r="F7" s="40">
        <v>10.432895362499998</v>
      </c>
      <c r="G7" s="40">
        <v>10.693717746562497</v>
      </c>
      <c r="H7" s="42">
        <v>10.961060690226558</v>
      </c>
    </row>
    <row r="8" spans="2:11" ht="14.4">
      <c r="C8" t="s">
        <v>165</v>
      </c>
      <c r="D8" s="40">
        <v>8.7799999999999994</v>
      </c>
      <c r="E8" s="41">
        <v>8.9994999999999994</v>
      </c>
      <c r="F8" s="40">
        <v>9.2244874999999986</v>
      </c>
      <c r="G8" s="40">
        <v>9.4550996874999971</v>
      </c>
      <c r="H8" s="42">
        <v>9.6914771796874977</v>
      </c>
    </row>
    <row r="9" spans="2:11" ht="14.4">
      <c r="E9" s="43" t="s">
        <v>187</v>
      </c>
      <c r="F9" s="43"/>
      <c r="G9" s="43"/>
    </row>
    <row r="10" spans="2:11" ht="14.4">
      <c r="E10" s="44" t="s">
        <v>180</v>
      </c>
    </row>
    <row r="11" spans="2:11">
      <c r="D11" t="s">
        <v>0</v>
      </c>
      <c r="F11" t="s">
        <v>138</v>
      </c>
    </row>
    <row r="12" spans="2:11">
      <c r="C12">
        <v>10</v>
      </c>
      <c r="D12">
        <v>1.1111111111111112</v>
      </c>
      <c r="F12">
        <v>2017</v>
      </c>
    </row>
    <row r="13" spans="2:11">
      <c r="D13" t="s">
        <v>131</v>
      </c>
      <c r="E13" t="s">
        <v>216</v>
      </c>
      <c r="F13" t="s">
        <v>218</v>
      </c>
      <c r="G13" t="s">
        <v>220</v>
      </c>
      <c r="H13" t="s">
        <v>221</v>
      </c>
    </row>
    <row r="14" spans="2:11" ht="14.4">
      <c r="C14" t="s">
        <v>144</v>
      </c>
      <c r="D14" s="40">
        <v>24.646437541786682</v>
      </c>
      <c r="E14" s="40">
        <v>25.262598480331338</v>
      </c>
      <c r="F14" s="40">
        <v>25.894163442339618</v>
      </c>
      <c r="G14" s="40">
        <v>26.541517528398106</v>
      </c>
      <c r="H14" s="40">
        <v>27.205055466608066</v>
      </c>
    </row>
    <row r="15" spans="2:11" ht="14.4">
      <c r="C15" t="s">
        <v>142</v>
      </c>
      <c r="D15" s="40">
        <v>12.489959733333334</v>
      </c>
      <c r="E15" s="40">
        <v>12.802208726666668</v>
      </c>
      <c r="F15" s="40">
        <v>13.122263944833337</v>
      </c>
      <c r="G15" s="40">
        <v>13.450320543454165</v>
      </c>
      <c r="H15" s="40">
        <v>13.786578557040517</v>
      </c>
    </row>
    <row r="16" spans="2:11" ht="14.4">
      <c r="C16" t="s">
        <v>161</v>
      </c>
      <c r="D16" s="40">
        <v>11.033533333333336</v>
      </c>
      <c r="E16" s="40">
        <v>11.309371666666669</v>
      </c>
      <c r="F16" s="40">
        <v>11.592105958333333</v>
      </c>
      <c r="G16" s="40">
        <v>11.881908607291665</v>
      </c>
      <c r="H16" s="40">
        <v>12.178956322473956</v>
      </c>
    </row>
    <row r="17" spans="3:8" ht="14.4">
      <c r="C17" t="s">
        <v>165</v>
      </c>
      <c r="D17" s="40">
        <v>9.7555555555555546</v>
      </c>
      <c r="E17" s="40">
        <v>9.9994444444444426</v>
      </c>
      <c r="F17" s="40">
        <v>10.249430555555552</v>
      </c>
      <c r="G17" s="40">
        <v>10.50566631944444</v>
      </c>
      <c r="H17" s="40">
        <v>10.768307977430553</v>
      </c>
    </row>
    <row r="20" spans="3:8">
      <c r="F20" t="s">
        <v>138</v>
      </c>
    </row>
    <row r="21" spans="3:8">
      <c r="C21">
        <v>10.5</v>
      </c>
      <c r="D21">
        <v>1.05</v>
      </c>
      <c r="F21">
        <v>2018</v>
      </c>
    </row>
    <row r="22" spans="3:8">
      <c r="D22" t="s">
        <v>131</v>
      </c>
      <c r="E22" t="s">
        <v>216</v>
      </c>
      <c r="F22" t="s">
        <v>218</v>
      </c>
      <c r="G22" t="s">
        <v>220</v>
      </c>
      <c r="H22" t="s">
        <v>221</v>
      </c>
    </row>
    <row r="23" spans="3:8" ht="14.4">
      <c r="C23" t="s">
        <v>144</v>
      </c>
      <c r="D23" s="40">
        <v>25.878759418876001</v>
      </c>
      <c r="E23" s="40">
        <v>26.525728404347898</v>
      </c>
      <c r="F23" s="40">
        <v>27.188871614456602</v>
      </c>
      <c r="G23" s="40">
        <v>27.868593404818018</v>
      </c>
      <c r="H23" s="40">
        <v>28.565308239938457</v>
      </c>
    </row>
    <row r="24" spans="3:8" ht="14.4">
      <c r="C24" t="s">
        <v>142</v>
      </c>
      <c r="D24" s="40">
        <v>13.114457720000001</v>
      </c>
      <c r="E24" s="40">
        <v>13.442319163000001</v>
      </c>
      <c r="F24" s="40">
        <v>13.778377142075</v>
      </c>
      <c r="G24" s="40">
        <v>14.122836570626873</v>
      </c>
      <c r="H24" s="40">
        <v>14.475907484892545</v>
      </c>
    </row>
    <row r="25" spans="3:8" ht="14.4">
      <c r="C25" t="s">
        <v>161</v>
      </c>
      <c r="D25" s="40">
        <v>11.585210000000005</v>
      </c>
      <c r="E25" s="40">
        <v>11.87484025</v>
      </c>
      <c r="F25" s="40">
        <v>12.171711256250001</v>
      </c>
      <c r="G25" s="40">
        <v>12.476004037656249</v>
      </c>
      <c r="H25" s="40">
        <v>12.787904138597657</v>
      </c>
    </row>
    <row r="26" spans="3:8" ht="14.4">
      <c r="C26" t="s">
        <v>165</v>
      </c>
      <c r="D26" s="40">
        <v>10.243333333333332</v>
      </c>
      <c r="E26" s="40">
        <v>10.499416666666665</v>
      </c>
      <c r="F26" s="40">
        <v>10.761902083333332</v>
      </c>
      <c r="G26" s="40">
        <v>11.030949635416665</v>
      </c>
      <c r="H26" s="40">
        <v>11.306723376302081</v>
      </c>
    </row>
    <row r="29" spans="3:8">
      <c r="F29" t="s">
        <v>138</v>
      </c>
    </row>
    <row r="30" spans="3:8">
      <c r="C30">
        <v>11</v>
      </c>
      <c r="D30">
        <v>1.0476190476190477</v>
      </c>
      <c r="F30">
        <v>2019</v>
      </c>
    </row>
    <row r="31" spans="3:8">
      <c r="D31" t="s">
        <v>131</v>
      </c>
      <c r="E31" t="s">
        <v>216</v>
      </c>
      <c r="F31" t="s">
        <v>218</v>
      </c>
      <c r="G31" t="s">
        <v>220</v>
      </c>
      <c r="H31" t="s">
        <v>221</v>
      </c>
    </row>
    <row r="32" spans="3:8" ht="14.4">
      <c r="C32" t="s">
        <v>144</v>
      </c>
      <c r="D32" s="40">
        <v>27.111081295965338</v>
      </c>
      <c r="E32" s="40">
        <v>27.788858328364466</v>
      </c>
      <c r="F32" s="40">
        <v>28.483579786573578</v>
      </c>
      <c r="G32" s="40">
        <v>29.195669281237922</v>
      </c>
      <c r="H32" s="40">
        <v>29.925561013268858</v>
      </c>
    </row>
    <row r="33" spans="3:21" ht="14.4">
      <c r="C33" t="s">
        <v>142</v>
      </c>
      <c r="D33" s="40">
        <v>13.738955706666669</v>
      </c>
      <c r="E33" s="40">
        <v>14.082429599333334</v>
      </c>
      <c r="F33" s="40">
        <v>14.434490339316669</v>
      </c>
      <c r="G33" s="40">
        <v>14.795352597799585</v>
      </c>
      <c r="H33" s="40">
        <v>15.165236412744569</v>
      </c>
    </row>
    <row r="34" spans="3:21" ht="14.4">
      <c r="C34" t="s">
        <v>161</v>
      </c>
      <c r="D34" s="40">
        <v>12.136886666666669</v>
      </c>
      <c r="E34" s="40">
        <v>12.440308833333336</v>
      </c>
      <c r="F34" s="40">
        <v>12.751316554166669</v>
      </c>
      <c r="G34" s="40">
        <v>13.070099468020837</v>
      </c>
      <c r="H34" s="40">
        <v>13.396851954721352</v>
      </c>
    </row>
    <row r="35" spans="3:21" ht="14.4">
      <c r="C35" t="s">
        <v>165</v>
      </c>
      <c r="D35" s="40">
        <v>10.73111111111111</v>
      </c>
      <c r="E35" s="40">
        <v>10.999388888888889</v>
      </c>
      <c r="F35" s="40">
        <v>11.274373611111109</v>
      </c>
      <c r="G35" s="40">
        <v>11.556232951388889</v>
      </c>
      <c r="H35" s="40">
        <v>11.845138775173609</v>
      </c>
      <c r="J35" t="s">
        <v>134</v>
      </c>
      <c r="K35" s="3"/>
      <c r="L35" s="3"/>
      <c r="M35" s="3"/>
      <c r="N35" s="3"/>
    </row>
    <row r="38" spans="3:21">
      <c r="F38" t="s">
        <v>138</v>
      </c>
      <c r="M38" t="s">
        <v>166</v>
      </c>
      <c r="O38" t="s">
        <v>130</v>
      </c>
      <c r="Q38" t="s">
        <v>152</v>
      </c>
    </row>
    <row r="39" spans="3:21">
      <c r="C39">
        <v>12</v>
      </c>
      <c r="D39">
        <v>1.0909090909090908</v>
      </c>
      <c r="F39">
        <v>2020</v>
      </c>
      <c r="J39">
        <v>12</v>
      </c>
      <c r="K39">
        <v>1.0874999999999999</v>
      </c>
      <c r="M39" t="s">
        <v>20</v>
      </c>
      <c r="O39" t="s">
        <v>18</v>
      </c>
    </row>
    <row r="40" spans="3:21">
      <c r="D40" t="s">
        <v>131</v>
      </c>
      <c r="E40" t="s">
        <v>216</v>
      </c>
      <c r="F40" t="s">
        <v>218</v>
      </c>
      <c r="G40" t="s">
        <v>220</v>
      </c>
      <c r="H40" t="s">
        <v>221</v>
      </c>
      <c r="K40" t="s">
        <v>131</v>
      </c>
      <c r="L40" t="s">
        <v>216</v>
      </c>
      <c r="M40" t="s">
        <v>218</v>
      </c>
      <c r="N40" t="s">
        <v>220</v>
      </c>
      <c r="O40" t="s">
        <v>221</v>
      </c>
    </row>
    <row r="41" spans="3:21" ht="14.4">
      <c r="C41" t="s">
        <v>144</v>
      </c>
      <c r="D41" s="40">
        <v>29.575725050144001</v>
      </c>
      <c r="E41" s="40">
        <v>30.315118176397593</v>
      </c>
      <c r="F41" s="40">
        <v>31.072996130807546</v>
      </c>
      <c r="G41" s="40">
        <v>31.849821034077717</v>
      </c>
      <c r="H41" s="40">
        <v>32.646066559929658</v>
      </c>
      <c r="J41" t="s">
        <v>144</v>
      </c>
      <c r="K41" s="27">
        <v>30.811312943742578</v>
      </c>
      <c r="L41" s="27">
        <v>31.58159576733614</v>
      </c>
      <c r="M41" s="27">
        <v>32.371135661519538</v>
      </c>
      <c r="N41" s="27">
        <v>33.180414053057525</v>
      </c>
      <c r="O41" s="27">
        <v>34.009924404383973</v>
      </c>
    </row>
    <row r="42" spans="3:21" ht="14.4">
      <c r="C42" t="s">
        <v>142</v>
      </c>
      <c r="D42" s="40">
        <v>14.987951680000005</v>
      </c>
      <c r="E42" s="40">
        <v>15.362650472</v>
      </c>
      <c r="F42" s="40">
        <v>15.746716733800001</v>
      </c>
      <c r="G42" s="40">
        <v>16.140384652145002</v>
      </c>
      <c r="H42" s="40">
        <v>16.543894268448621</v>
      </c>
      <c r="J42" t="s">
        <v>142</v>
      </c>
      <c r="K42" s="27">
        <v>15.614104770558241</v>
      </c>
      <c r="L42" s="27">
        <v>16.004457389822196</v>
      </c>
      <c r="M42" s="27">
        <v>16.40456882456775</v>
      </c>
      <c r="N42" s="27">
        <v>16.814683045181944</v>
      </c>
      <c r="O42" s="27">
        <v>17.235050121311492</v>
      </c>
      <c r="Q42" t="s">
        <v>153</v>
      </c>
      <c r="S42">
        <v>13.17</v>
      </c>
    </row>
    <row r="43" spans="3:21" ht="14.4">
      <c r="C43" t="s">
        <v>161</v>
      </c>
      <c r="D43" s="40">
        <v>13.240240000000005</v>
      </c>
      <c r="E43" s="40">
        <v>13.571245999999999</v>
      </c>
      <c r="F43" s="40">
        <v>13.910527149999998</v>
      </c>
      <c r="G43" s="40">
        <v>14.258290328749997</v>
      </c>
      <c r="H43" s="40">
        <v>14.614747586968745</v>
      </c>
      <c r="J43" t="s">
        <v>161</v>
      </c>
      <c r="K43" s="27">
        <v>13.793378772577952</v>
      </c>
      <c r="L43" s="27">
        <v>14.1382132418924</v>
      </c>
      <c r="M43" s="27">
        <v>14.491668572939709</v>
      </c>
      <c r="N43" s="27">
        <v>14.853960287263201</v>
      </c>
      <c r="O43" s="27">
        <v>15.225309294444777</v>
      </c>
      <c r="Q43" t="s">
        <v>153</v>
      </c>
      <c r="S43">
        <v>12.17</v>
      </c>
    </row>
    <row r="44" spans="3:21" ht="14.4">
      <c r="C44" t="s">
        <v>165</v>
      </c>
      <c r="D44" s="40">
        <v>11.706666666666665</v>
      </c>
      <c r="E44" s="40">
        <v>11.999333333333333</v>
      </c>
      <c r="F44" s="40">
        <v>12.299316666666664</v>
      </c>
      <c r="G44" s="40">
        <v>12.606799583333329</v>
      </c>
      <c r="H44" s="40">
        <v>12.921969572916661</v>
      </c>
      <c r="J44" t="s">
        <v>165</v>
      </c>
      <c r="K44" s="27">
        <v>12.195737199450001</v>
      </c>
      <c r="L44" s="27">
        <v>12.500630629436248</v>
      </c>
      <c r="M44" s="27">
        <v>12.813146395172152</v>
      </c>
      <c r="N44" s="27">
        <v>13.133475055051457</v>
      </c>
      <c r="O44" s="27">
        <v>13.461811931427741</v>
      </c>
      <c r="Q44" t="s">
        <v>153</v>
      </c>
      <c r="S44">
        <v>12</v>
      </c>
      <c r="T44">
        <v>12</v>
      </c>
      <c r="U44">
        <v>12</v>
      </c>
    </row>
    <row r="45" spans="3:21">
      <c r="J45" t="s">
        <v>201</v>
      </c>
      <c r="L45" s="27">
        <v>25</v>
      </c>
    </row>
    <row r="47" spans="3:21">
      <c r="F47" t="s">
        <v>138</v>
      </c>
      <c r="M47" t="s">
        <v>166</v>
      </c>
      <c r="O47" t="s">
        <v>130</v>
      </c>
    </row>
    <row r="48" spans="3:21">
      <c r="C48">
        <v>13</v>
      </c>
      <c r="D48">
        <v>1.0833333333333333</v>
      </c>
      <c r="F48">
        <v>2021</v>
      </c>
      <c r="J48">
        <v>14</v>
      </c>
      <c r="K48">
        <v>1.0769230000000001</v>
      </c>
      <c r="M48" t="s">
        <v>21</v>
      </c>
      <c r="O48" t="s">
        <v>18</v>
      </c>
    </row>
    <row r="49" spans="3:23">
      <c r="D49" t="s">
        <v>131</v>
      </c>
      <c r="E49" t="s">
        <v>216</v>
      </c>
      <c r="F49" t="s">
        <v>218</v>
      </c>
      <c r="G49" t="s">
        <v>220</v>
      </c>
      <c r="H49" t="s">
        <v>221</v>
      </c>
      <c r="K49" t="s">
        <v>131</v>
      </c>
      <c r="L49" t="s">
        <v>216</v>
      </c>
      <c r="M49" t="s">
        <v>218</v>
      </c>
      <c r="N49" t="s">
        <v>220</v>
      </c>
      <c r="O49" t="s">
        <v>221</v>
      </c>
      <c r="U49" t="s">
        <v>193</v>
      </c>
    </row>
    <row r="50" spans="3:23" ht="14.4">
      <c r="C50" t="s">
        <v>144</v>
      </c>
      <c r="D50" s="40">
        <v>32.040368804322661</v>
      </c>
      <c r="E50" s="40">
        <v>32.841378024430725</v>
      </c>
      <c r="F50" s="40">
        <v>33.662412475041492</v>
      </c>
      <c r="G50" s="40">
        <v>34.503972786917529</v>
      </c>
      <c r="H50" s="40">
        <v>35.366572106590468</v>
      </c>
      <c r="J50" t="s">
        <v>144</v>
      </c>
      <c r="K50" s="27">
        <f t="shared" ref="K50:O53" si="0">(+D59+D50)/2</f>
        <v>33.272690681411994</v>
      </c>
      <c r="L50" s="27">
        <f t="shared" si="0"/>
        <v>34.104507948447292</v>
      </c>
      <c r="M50" s="27">
        <f t="shared" si="0"/>
        <v>34.957120647158476</v>
      </c>
      <c r="N50" s="27">
        <f t="shared" si="0"/>
        <v>35.831048663337434</v>
      </c>
      <c r="O50" s="27">
        <f t="shared" si="0"/>
        <v>36.726824879920883</v>
      </c>
      <c r="U50" s="45">
        <v>44397</v>
      </c>
      <c r="V50" s="45">
        <v>44217</v>
      </c>
      <c r="W50" s="45">
        <v>44218</v>
      </c>
    </row>
    <row r="51" spans="3:23" ht="14.4">
      <c r="C51" t="s">
        <v>142</v>
      </c>
      <c r="D51" s="40">
        <v>16.236947653333338</v>
      </c>
      <c r="E51" s="40">
        <v>16.642871344666666</v>
      </c>
      <c r="F51" s="40">
        <v>17.058943128283332</v>
      </c>
      <c r="G51" s="40">
        <v>17.485416706490412</v>
      </c>
      <c r="H51" s="40">
        <v>17.92255212415267</v>
      </c>
      <c r="J51" t="s">
        <v>142</v>
      </c>
      <c r="K51" s="27">
        <f t="shared" si="0"/>
        <v>16.861445640000003</v>
      </c>
      <c r="L51" s="27">
        <f t="shared" si="0"/>
        <v>17.282981781</v>
      </c>
      <c r="M51" s="27">
        <f t="shared" si="0"/>
        <v>17.715056325525005</v>
      </c>
      <c r="N51" s="27">
        <f t="shared" si="0"/>
        <v>18.157932733663124</v>
      </c>
      <c r="O51" s="27">
        <f t="shared" si="0"/>
        <v>18.611881052004698</v>
      </c>
      <c r="Q51" t="s">
        <v>150</v>
      </c>
      <c r="S51">
        <v>16</v>
      </c>
      <c r="U51">
        <v>14</v>
      </c>
      <c r="V51">
        <v>15</v>
      </c>
      <c r="W51">
        <v>16</v>
      </c>
    </row>
    <row r="52" spans="3:23" ht="14.4">
      <c r="C52" t="s">
        <v>161</v>
      </c>
      <c r="D52" s="40">
        <v>14.343593333333336</v>
      </c>
      <c r="E52" s="40">
        <v>14.70218316666667</v>
      </c>
      <c r="F52" s="40">
        <v>15.069737745833333</v>
      </c>
      <c r="G52" s="40">
        <v>15.446481189479165</v>
      </c>
      <c r="H52" s="40">
        <v>15.832643219216141</v>
      </c>
      <c r="J52" t="s">
        <v>161</v>
      </c>
      <c r="K52" s="27">
        <f t="shared" si="0"/>
        <v>14.895270000000004</v>
      </c>
      <c r="L52" s="27">
        <f t="shared" si="0"/>
        <v>15.267651750000002</v>
      </c>
      <c r="M52" s="27">
        <f t="shared" si="0"/>
        <v>15.649343043749999</v>
      </c>
      <c r="N52" s="27">
        <f t="shared" si="0"/>
        <v>16.040576619843748</v>
      </c>
      <c r="O52" s="27">
        <f t="shared" si="0"/>
        <v>16.44159103533984</v>
      </c>
      <c r="S52">
        <v>14.49</v>
      </c>
      <c r="U52">
        <v>13</v>
      </c>
      <c r="V52">
        <v>14</v>
      </c>
      <c r="W52">
        <v>15</v>
      </c>
    </row>
    <row r="53" spans="3:23" ht="14.4">
      <c r="C53" t="s">
        <v>165</v>
      </c>
      <c r="D53" s="40">
        <v>12.682222222222221</v>
      </c>
      <c r="E53" s="40">
        <v>12.999277777777781</v>
      </c>
      <c r="F53" s="40">
        <v>13.324259722222221</v>
      </c>
      <c r="G53" s="40">
        <v>13.657366215277777</v>
      </c>
      <c r="H53" s="40">
        <v>13.998800370659717</v>
      </c>
      <c r="J53" t="s">
        <v>165</v>
      </c>
      <c r="K53" s="27">
        <f t="shared" si="0"/>
        <v>13.170000000000002</v>
      </c>
      <c r="L53" s="27">
        <f t="shared" si="0"/>
        <v>13.49925</v>
      </c>
      <c r="M53" s="27">
        <f t="shared" si="0"/>
        <v>13.836731249999996</v>
      </c>
      <c r="N53" s="27">
        <f t="shared" si="0"/>
        <v>14.182649531249996</v>
      </c>
      <c r="O53" s="27">
        <f t="shared" si="0"/>
        <v>14.537215769531244</v>
      </c>
      <c r="S53">
        <v>12.81</v>
      </c>
      <c r="U53">
        <v>12</v>
      </c>
      <c r="V53">
        <v>13</v>
      </c>
      <c r="W53">
        <v>14</v>
      </c>
    </row>
    <row r="54" spans="3:23">
      <c r="J54" t="s">
        <v>201</v>
      </c>
      <c r="L54" s="27">
        <v>25</v>
      </c>
    </row>
    <row r="55" spans="3:23">
      <c r="U55">
        <f t="shared" ref="U55:W57" si="1">U51*1.02</f>
        <v>14.280000000000001</v>
      </c>
      <c r="V55">
        <f t="shared" si="1"/>
        <v>15.3</v>
      </c>
      <c r="W55">
        <f t="shared" si="1"/>
        <v>16.32</v>
      </c>
    </row>
    <row r="56" spans="3:23">
      <c r="F56" t="s">
        <v>138</v>
      </c>
      <c r="U56">
        <f t="shared" si="1"/>
        <v>13.26</v>
      </c>
      <c r="V56">
        <f t="shared" si="1"/>
        <v>14.280000000000001</v>
      </c>
      <c r="W56">
        <f t="shared" si="1"/>
        <v>15.3</v>
      </c>
    </row>
    <row r="57" spans="3:23">
      <c r="C57">
        <v>14</v>
      </c>
      <c r="D57">
        <v>1.0769230769230769</v>
      </c>
      <c r="F57">
        <v>2022</v>
      </c>
      <c r="U57">
        <f t="shared" si="1"/>
        <v>12.24</v>
      </c>
      <c r="V57">
        <f t="shared" si="1"/>
        <v>13.26</v>
      </c>
      <c r="W57">
        <f t="shared" si="1"/>
        <v>14.280000000000001</v>
      </c>
    </row>
    <row r="58" spans="3:23">
      <c r="D58" t="s">
        <v>131</v>
      </c>
      <c r="E58" t="s">
        <v>216</v>
      </c>
      <c r="F58" t="s">
        <v>218</v>
      </c>
      <c r="G58" t="s">
        <v>220</v>
      </c>
      <c r="H58" t="s">
        <v>221</v>
      </c>
    </row>
    <row r="59" spans="3:23" ht="14.4">
      <c r="C59" t="s">
        <v>144</v>
      </c>
      <c r="D59" s="40">
        <v>34.505012558501328</v>
      </c>
      <c r="E59" s="40">
        <v>35.36763787246386</v>
      </c>
      <c r="F59" s="40">
        <v>36.25182881927546</v>
      </c>
      <c r="G59" s="40">
        <v>37.158124539757338</v>
      </c>
      <c r="H59" s="40">
        <v>38.087077653251299</v>
      </c>
    </row>
    <row r="60" spans="3:23" ht="14.4">
      <c r="C60" t="s">
        <v>142</v>
      </c>
      <c r="D60" s="40">
        <v>17.485943626666668</v>
      </c>
      <c r="E60" s="40">
        <v>17.923092217333334</v>
      </c>
      <c r="F60" s="40">
        <v>18.371169522766674</v>
      </c>
      <c r="G60" s="40">
        <v>18.830448760835832</v>
      </c>
      <c r="H60" s="40">
        <v>19.301209979856729</v>
      </c>
    </row>
    <row r="61" spans="3:23" ht="14.4">
      <c r="C61" t="s">
        <v>161</v>
      </c>
      <c r="D61" s="40">
        <v>15.446946666666669</v>
      </c>
      <c r="E61" s="40">
        <v>15.833120333333337</v>
      </c>
      <c r="F61" s="40">
        <v>16.228948341666666</v>
      </c>
      <c r="G61" s="40">
        <v>16.63467205020833</v>
      </c>
      <c r="H61" s="40">
        <v>17.050538851463536</v>
      </c>
    </row>
    <row r="62" spans="3:23" ht="14.4">
      <c r="C62" t="s">
        <v>165</v>
      </c>
      <c r="D62" s="40">
        <v>13.657777777777781</v>
      </c>
      <c r="E62" s="40">
        <v>13.999222222222221</v>
      </c>
      <c r="F62" s="40">
        <v>14.349202777777773</v>
      </c>
      <c r="G62" s="40">
        <v>14.707932847222217</v>
      </c>
      <c r="H62" s="40">
        <v>15.07563116840277</v>
      </c>
    </row>
    <row r="65" spans="3:28">
      <c r="F65" t="s">
        <v>138</v>
      </c>
      <c r="S65" t="s">
        <v>138</v>
      </c>
      <c r="Z65" t="s">
        <v>166</v>
      </c>
      <c r="AB65" t="s">
        <v>130</v>
      </c>
    </row>
    <row r="66" spans="3:28">
      <c r="C66">
        <v>15</v>
      </c>
      <c r="D66">
        <v>1.0714285714285714</v>
      </c>
      <c r="F66">
        <v>2023</v>
      </c>
      <c r="P66">
        <v>13</v>
      </c>
      <c r="Q66">
        <v>1.0833333333333333</v>
      </c>
      <c r="S66">
        <v>2021</v>
      </c>
      <c r="W66">
        <v>14</v>
      </c>
      <c r="X66">
        <v>1.0769230000000001</v>
      </c>
      <c r="Z66" t="s">
        <v>21</v>
      </c>
      <c r="AB66" t="s">
        <v>18</v>
      </c>
    </row>
    <row r="67" spans="3:28">
      <c r="D67" t="s">
        <v>131</v>
      </c>
      <c r="E67" t="s">
        <v>216</v>
      </c>
      <c r="F67" t="s">
        <v>218</v>
      </c>
      <c r="G67" t="s">
        <v>220</v>
      </c>
      <c r="H67" t="s">
        <v>221</v>
      </c>
      <c r="Q67" t="s">
        <v>131</v>
      </c>
      <c r="R67" t="s">
        <v>216</v>
      </c>
      <c r="S67" t="s">
        <v>218</v>
      </c>
      <c r="T67" t="s">
        <v>220</v>
      </c>
      <c r="U67" t="s">
        <v>221</v>
      </c>
      <c r="X67" t="s">
        <v>131</v>
      </c>
      <c r="Y67" t="s">
        <v>216</v>
      </c>
      <c r="Z67" t="s">
        <v>218</v>
      </c>
      <c r="AA67" t="s">
        <v>220</v>
      </c>
      <c r="AB67" t="s">
        <v>221</v>
      </c>
    </row>
    <row r="68" spans="3:28" ht="14.4">
      <c r="C68" t="s">
        <v>144</v>
      </c>
      <c r="D68" s="40">
        <v>36.969656312679994</v>
      </c>
      <c r="E68" s="40">
        <v>37.893897720496994</v>
      </c>
      <c r="F68" s="40">
        <v>38.84124516350942</v>
      </c>
      <c r="G68" s="40">
        <v>39.812276292597147</v>
      </c>
      <c r="H68" s="40">
        <v>40.807583199912074</v>
      </c>
      <c r="P68" t="s">
        <v>144</v>
      </c>
      <c r="Q68" s="40">
        <v>32.040368804322661</v>
      </c>
      <c r="R68" s="40">
        <v>32.841378024430725</v>
      </c>
      <c r="S68" s="40">
        <v>33.662412475041492</v>
      </c>
      <c r="T68" s="40">
        <v>34.503972786917529</v>
      </c>
      <c r="U68" s="40">
        <v>35.366572106590468</v>
      </c>
      <c r="W68" t="s">
        <v>144</v>
      </c>
      <c r="X68" s="27">
        <f t="shared" ref="X68:AB71" si="2">(+Q77+Q68)/2</f>
        <v>33.272690681411994</v>
      </c>
      <c r="Y68" s="27">
        <f t="shared" si="2"/>
        <v>34.104507948447292</v>
      </c>
      <c r="Z68" s="27">
        <f t="shared" si="2"/>
        <v>34.957120647158476</v>
      </c>
      <c r="AA68" s="27">
        <f t="shared" si="2"/>
        <v>35.831048663337434</v>
      </c>
      <c r="AB68" s="27">
        <f t="shared" si="2"/>
        <v>36.726824879920883</v>
      </c>
    </row>
    <row r="69" spans="3:28" ht="14.4">
      <c r="C69" t="s">
        <v>142</v>
      </c>
      <c r="D69" s="40">
        <v>18.734939600000001</v>
      </c>
      <c r="E69" s="40">
        <v>19.203313090000002</v>
      </c>
      <c r="F69" s="40">
        <v>19.683395917249996</v>
      </c>
      <c r="G69" s="40">
        <v>20.175480815181245</v>
      </c>
      <c r="H69" s="40">
        <v>20.679867835560778</v>
      </c>
      <c r="P69" t="s">
        <v>142</v>
      </c>
      <c r="Q69" s="40">
        <v>16.236947653333338</v>
      </c>
      <c r="R69" s="40">
        <v>15</v>
      </c>
      <c r="S69" s="40">
        <v>17.058943128283332</v>
      </c>
      <c r="T69" s="40">
        <v>17.485416706490412</v>
      </c>
      <c r="U69" s="40">
        <v>17.92255212415267</v>
      </c>
      <c r="W69" t="s">
        <v>142</v>
      </c>
      <c r="X69" s="27">
        <f t="shared" si="2"/>
        <v>16.861445640000003</v>
      </c>
      <c r="Y69" s="27">
        <f t="shared" si="2"/>
        <v>15.5</v>
      </c>
      <c r="Z69" s="27">
        <f t="shared" si="2"/>
        <v>17.715056325525005</v>
      </c>
      <c r="AA69" s="27">
        <f t="shared" si="2"/>
        <v>18.157932733663124</v>
      </c>
      <c r="AB69" s="27">
        <f t="shared" si="2"/>
        <v>18.611881052004698</v>
      </c>
    </row>
    <row r="70" spans="3:28" ht="14.4">
      <c r="C70" t="s">
        <v>161</v>
      </c>
      <c r="D70" s="40">
        <v>16.5503</v>
      </c>
      <c r="E70" s="40">
        <v>16.964057500000006</v>
      </c>
      <c r="F70" s="40">
        <v>17.388158937499998</v>
      </c>
      <c r="G70" s="40">
        <v>17.822862910937502</v>
      </c>
      <c r="H70" s="40">
        <v>18.26843448371093</v>
      </c>
      <c r="P70" t="s">
        <v>161</v>
      </c>
      <c r="Q70" s="40">
        <v>14.343593333333336</v>
      </c>
      <c r="R70" s="40">
        <v>14</v>
      </c>
      <c r="S70" s="40">
        <v>15.069737745833333</v>
      </c>
      <c r="T70" s="40">
        <v>15.446481189479165</v>
      </c>
      <c r="U70" s="40">
        <v>15.832643219216141</v>
      </c>
      <c r="W70" t="s">
        <v>161</v>
      </c>
      <c r="X70" s="27">
        <f t="shared" si="2"/>
        <v>14.895270000000004</v>
      </c>
      <c r="Y70" s="27">
        <f t="shared" si="2"/>
        <v>14.5</v>
      </c>
      <c r="Z70" s="27">
        <f t="shared" si="2"/>
        <v>15.649343043749999</v>
      </c>
      <c r="AA70" s="27">
        <f t="shared" si="2"/>
        <v>16.040576619843748</v>
      </c>
      <c r="AB70" s="27">
        <f t="shared" si="2"/>
        <v>16.44159103533984</v>
      </c>
    </row>
    <row r="71" spans="3:28" ht="14.4">
      <c r="C71" t="s">
        <v>165</v>
      </c>
      <c r="D71" s="40">
        <v>14.633333333333333</v>
      </c>
      <c r="E71" s="40">
        <v>14.999166666666669</v>
      </c>
      <c r="F71" s="40">
        <v>15.37414583333333</v>
      </c>
      <c r="G71" s="40">
        <v>15.758499479166662</v>
      </c>
      <c r="H71" s="40">
        <v>16.152461966145829</v>
      </c>
      <c r="P71" t="s">
        <v>165</v>
      </c>
      <c r="Q71" s="40">
        <v>12.682222222222221</v>
      </c>
      <c r="R71" s="40">
        <v>13</v>
      </c>
      <c r="S71" s="40">
        <v>13.324259722222221</v>
      </c>
      <c r="T71" s="40">
        <v>13.657366215277777</v>
      </c>
      <c r="U71" s="40">
        <v>13.998800370659717</v>
      </c>
      <c r="W71" t="s">
        <v>165</v>
      </c>
      <c r="X71" s="27">
        <f t="shared" si="2"/>
        <v>13.170000000000002</v>
      </c>
      <c r="Y71" s="27">
        <f t="shared" si="2"/>
        <v>13.5</v>
      </c>
      <c r="Z71" s="27">
        <f t="shared" si="2"/>
        <v>13.836731249999996</v>
      </c>
      <c r="AA71" s="27">
        <f t="shared" si="2"/>
        <v>14.182649531249996</v>
      </c>
      <c r="AB71" s="27">
        <f t="shared" si="2"/>
        <v>14.537215769531244</v>
      </c>
    </row>
    <row r="72" spans="3:28">
      <c r="W72" t="s">
        <v>201</v>
      </c>
      <c r="Y72" s="27">
        <v>25</v>
      </c>
    </row>
    <row r="74" spans="3:28">
      <c r="S74" t="s">
        <v>138</v>
      </c>
    </row>
    <row r="75" spans="3:28">
      <c r="P75">
        <v>14</v>
      </c>
      <c r="Q75">
        <v>1.0769230769230769</v>
      </c>
      <c r="S75">
        <v>2022</v>
      </c>
    </row>
    <row r="76" spans="3:28">
      <c r="Q76" t="s">
        <v>131</v>
      </c>
      <c r="R76" t="s">
        <v>216</v>
      </c>
      <c r="S76" t="s">
        <v>218</v>
      </c>
      <c r="T76" t="s">
        <v>220</v>
      </c>
      <c r="U76" t="s">
        <v>221</v>
      </c>
    </row>
    <row r="77" spans="3:28" ht="14.4">
      <c r="P77" t="s">
        <v>144</v>
      </c>
      <c r="Q77" s="40">
        <v>34.505012558501328</v>
      </c>
      <c r="R77" s="40">
        <v>35.36763787246386</v>
      </c>
      <c r="S77" s="40">
        <v>36.25182881927546</v>
      </c>
      <c r="T77" s="40">
        <v>37.158124539757338</v>
      </c>
      <c r="U77" s="40">
        <v>38.087077653251299</v>
      </c>
    </row>
    <row r="78" spans="3:28" ht="14.4">
      <c r="P78" t="s">
        <v>142</v>
      </c>
      <c r="Q78" s="40">
        <v>17.485943626666668</v>
      </c>
      <c r="R78" s="40">
        <v>16</v>
      </c>
      <c r="S78" s="40">
        <v>18.371169522766674</v>
      </c>
      <c r="T78" s="40">
        <v>18.830448760835832</v>
      </c>
      <c r="U78" s="40">
        <v>19.301209979856729</v>
      </c>
    </row>
    <row r="79" spans="3:28" ht="14.4">
      <c r="P79" t="s">
        <v>161</v>
      </c>
      <c r="Q79" s="40">
        <v>15.446946666666669</v>
      </c>
      <c r="R79" s="40">
        <v>15</v>
      </c>
      <c r="S79" s="40">
        <v>16.228948341666666</v>
      </c>
      <c r="T79" s="40">
        <v>16.63467205020833</v>
      </c>
      <c r="U79" s="40">
        <v>17.050538851463536</v>
      </c>
    </row>
    <row r="80" spans="3:28" ht="14.4">
      <c r="P80" t="s">
        <v>165</v>
      </c>
      <c r="Q80" s="40">
        <v>13.657777777777781</v>
      </c>
      <c r="R80" s="40">
        <v>14</v>
      </c>
      <c r="S80" s="40">
        <v>14.349202777777773</v>
      </c>
      <c r="T80" s="40">
        <v>14.707932847222217</v>
      </c>
      <c r="U80" s="40">
        <v>15.07563116840277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Proposed Budget</vt:lpstr>
      <vt:lpstr>Worksheet 20_21 Budget </vt:lpstr>
      <vt:lpstr>Salaries worksheets</vt:lpstr>
      <vt:lpstr>Sicktime Worksheets</vt:lpstr>
      <vt:lpstr>Fire payrates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Brittany Chavez</cp:lastModifiedBy>
  <dcterms:created xsi:type="dcterms:W3CDTF">2021-05-19T00:52:12Z</dcterms:created>
  <dcterms:modified xsi:type="dcterms:W3CDTF">2021-05-26T17:36:47Z</dcterms:modified>
</cp:coreProperties>
</file>